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15" windowHeight="4335" tabRatio="953" firstSheet="3" activeTab="3"/>
  </bookViews>
  <sheets>
    <sheet name="Grupa Kapitałowa" sheetId="1" state="hidden" r:id="rId1"/>
    <sheet name="sprawdzenie" sheetId="2" state="hidden" r:id="rId2"/>
    <sheet name="dodatkowe" sheetId="3" state="hidden" r:id="rId3"/>
    <sheet name="Budimex SA" sheetId="4" r:id="rId4"/>
    <sheet name="Noty aktywa" sheetId="5" state="hidden" r:id="rId5"/>
    <sheet name="Noty Pasywa" sheetId="6" state="hidden" r:id="rId6"/>
    <sheet name="Noty_RZIS" sheetId="7" state="hidden" r:id="rId7"/>
    <sheet name="Noty Przepływy" sheetId="8" state="hidden" r:id="rId8"/>
  </sheets>
  <definedNames>
    <definedName name="AS2DocOpenMode" hidden="1">"AS2DocumentEdit"</definedName>
    <definedName name="ew" hidden="1">{#N/A,#N/A,FALSE,"Nabycie akcji"}</definedName>
    <definedName name="FIJO">#REF!</definedName>
    <definedName name="FIJO_TITULO">#REF!</definedName>
    <definedName name="nota" hidden="1">{#N/A,#N/A,FALSE,"Nabycie akcji"}</definedName>
    <definedName name="nota21.1a" localSheetId="2" hidden="1">{#N/A,#N/A,FALSE,"Nabycie akcji"}</definedName>
    <definedName name="nota21.1a" localSheetId="0" hidden="1">{#N/A,#N/A,FALSE,"Nabycie akcji"}</definedName>
    <definedName name="nota21.1a" hidden="1">{#N/A,#N/A,FALSE,"Nabycie akcji"}</definedName>
    <definedName name="nota5E" localSheetId="2" hidden="1">{#N/A,#N/A,FALSE,"Nabycie akcji"}</definedName>
    <definedName name="nota5E" localSheetId="0" hidden="1">{#N/A,#N/A,FALSE,"Nabycie akcji"}</definedName>
    <definedName name="nota5E" hidden="1">{#N/A,#N/A,FALSE,"Nabycie akcji"}</definedName>
    <definedName name="nota6a" localSheetId="2" hidden="1">{#N/A,#N/A,FALSE,"Nabycie akcji"}</definedName>
    <definedName name="nota6a" localSheetId="0" hidden="1">{#N/A,#N/A,FALSE,"Nabycie akcji"}</definedName>
    <definedName name="nota6a" hidden="1">{#N/A,#N/A,FALSE,"Nabycie akcji"}</definedName>
    <definedName name="notaer" hidden="1">{#N/A,#N/A,FALSE,"Nabycie akcji"}</definedName>
    <definedName name="_xlnm.Print_Area" localSheetId="3">'Budimex SA'!$A$1:$Y$71</definedName>
    <definedName name="_xlnm.Print_Area" localSheetId="2">'dodatkowe'!$A$1:$E$25</definedName>
    <definedName name="_xlnm.Print_Area" localSheetId="0">'Grupa Kapitałowa'!$A$1:$J$54</definedName>
    <definedName name="_xlnm.Print_Area" localSheetId="4">'Noty aktywa'!$A$1:$C$961</definedName>
    <definedName name="_xlnm.Print_Area" localSheetId="5">'Noty Pasywa'!$A$1:$C$612</definedName>
    <definedName name="_xlnm.Print_Area" localSheetId="7">'Noty Przepływy'!$A:$C</definedName>
    <definedName name="_xlnm.Print_Area" localSheetId="6">'Noty_RZIS'!$A$1:$C$376</definedName>
    <definedName name="_xlnm.Print_Area">#N/A</definedName>
    <definedName name="_xlnm.Print_Titles" localSheetId="3">'Budimex SA'!$2:$2</definedName>
    <definedName name="_xlnm.Print_Titles">#N/A</definedName>
    <definedName name="we" hidden="1">{#N/A,#N/A,FALSE,"Nabycie akcji"}</definedName>
    <definedName name="wrn.Akcje._.Mątwy." localSheetId="2" hidden="1">{#N/A,#N/A,FALSE,"Nabycie akcji"}</definedName>
    <definedName name="wrn.Akcje._.Mątwy." localSheetId="0" hidden="1">{#N/A,#N/A,FALSE,"Nabycie akcji"}</definedName>
    <definedName name="wrn.Akcje._.Mątwy." hidden="1">{#N/A,#N/A,FALSE,"Nabycie akcji"}</definedName>
  </definedNames>
  <calcPr fullCalcOnLoad="1"/>
</workbook>
</file>

<file path=xl/sharedStrings.xml><?xml version="1.0" encoding="utf-8"?>
<sst xmlns="http://schemas.openxmlformats.org/spreadsheetml/2006/main" count="2008" uniqueCount="1026">
  <si>
    <t xml:space="preserve">    - od jednostek powiązanych</t>
  </si>
  <si>
    <t xml:space="preserve">   -zrealizowane</t>
  </si>
  <si>
    <t xml:space="preserve">   -niezrealizowane</t>
  </si>
  <si>
    <t xml:space="preserve">   -niezrealizowane+A239</t>
  </si>
  <si>
    <t>INNE INWESTYCJE DŁUGOTERMINOWE (WG RODZAJU)</t>
  </si>
  <si>
    <t>c)</t>
  </si>
  <si>
    <t>d)</t>
  </si>
  <si>
    <t>Inne inwestycje długoterminowe, razem</t>
  </si>
  <si>
    <t>Nota 28A</t>
  </si>
  <si>
    <t>Nota 28B</t>
  </si>
  <si>
    <t>PAPIERY WARTOŚCIOWE, UDZIAŁY I INNE KRÓTKOTERMINOWE AKTYWA FINANSOWE (STRUKTURA WALUTOWA)</t>
  </si>
  <si>
    <t xml:space="preserve">   - przeterminowanie należności </t>
  </si>
  <si>
    <t xml:space="preserve">       - rezerwa na opcje menedżerskie</t>
  </si>
  <si>
    <t>B. Z nieograniczoną zbywalnością, notowane na rynkach pozagiełdowych (wartość bilansowa)</t>
  </si>
  <si>
    <t xml:space="preserve">         - od jednostek stowarzyszonych</t>
  </si>
  <si>
    <t xml:space="preserve">         - od jednostki dominującej</t>
  </si>
  <si>
    <t xml:space="preserve">         - od jednostek współzależnych</t>
  </si>
  <si>
    <t>używane na podstawie umowy najmu, dzierżawy lub innej umowy, w tym umowy leasingu, w tym:</t>
  </si>
  <si>
    <t>Nota 2A</t>
  </si>
  <si>
    <t>Nota 2C</t>
  </si>
  <si>
    <t>b) ujemne</t>
  </si>
  <si>
    <t>a) dodatnie</t>
  </si>
  <si>
    <t>Razem ( a - b)</t>
  </si>
  <si>
    <t>Pozostałe kapitały rezerwowe, razem</t>
  </si>
  <si>
    <t>Liczba akcji</t>
  </si>
  <si>
    <t xml:space="preserve">   ....</t>
  </si>
  <si>
    <t>e) inny (wg rodzaju)</t>
  </si>
  <si>
    <t>KAPITAŁ  Z  AKTUALIZACJI  WYCENY</t>
  </si>
  <si>
    <t>a) z tytułu aktualizacji środków trwałych</t>
  </si>
  <si>
    <t>b) z tytułu zysków/strat z wyceny instrumentów finansowych, w tym:</t>
  </si>
  <si>
    <t xml:space="preserve">   - z wyceny instrumentów zabezpieczających</t>
  </si>
  <si>
    <t>c) z tytułu podatku odroczonego</t>
  </si>
  <si>
    <t>Kapitał z aktualizacji wyceny, razem</t>
  </si>
  <si>
    <t>Przychody netto ze sprzedaży towarów, materiałów i produktów, razem</t>
  </si>
  <si>
    <t>Zmiana stanu zobowiązań i funduszy specjalnych w sprawozdaniu z przepływów pieniężnych</t>
  </si>
  <si>
    <t>PRZYCHODY NETTO ZE SPRZEDAŻY TOWARÓW, MATERIAŁÓW I PRODUKTÓW WEDŁUG RYNKÓW GEOGRAFICZNYCH</t>
  </si>
  <si>
    <t>a) Polska</t>
  </si>
  <si>
    <t>b) Niemcy</t>
  </si>
  <si>
    <t>d) Pozostałe kraje</t>
  </si>
  <si>
    <t xml:space="preserve">   - zmniejszenie (zwiększenie) z tytułu z poprzednio nieujętej straty podatkowej, ulgi podatkowej lub różnicy przejściowej poprzedniego okresu</t>
  </si>
  <si>
    <t xml:space="preserve">   - zmniejszenie (zwiększenie) z tytułu odpisania aktywów z tytułu odroczonego podatku dochodowego lub braku możliwości wykorzystania rezerwy na odroczony podatek dochodowy</t>
  </si>
  <si>
    <t>Podatek dochodowy odroczony, razem</t>
  </si>
  <si>
    <t>b) powyżej 1 miesiąca do 3 miesięcy</t>
  </si>
  <si>
    <t>c) powyżej 3 miesięcy do 6 miesięcy</t>
  </si>
  <si>
    <t>d) powyżej 6 miesięcy do 1 roku</t>
  </si>
  <si>
    <t>e) powyżej 1 roku</t>
  </si>
  <si>
    <t>Należności krótkotermin. od jednostek powiąz. netto, razem</t>
  </si>
  <si>
    <t xml:space="preserve">      tys. zł </t>
  </si>
  <si>
    <t>f) w pozostałych jednostkach</t>
  </si>
  <si>
    <t xml:space="preserve">       - rezerwy na urlopy</t>
  </si>
  <si>
    <t>a) stan na początek okresu</t>
  </si>
  <si>
    <t xml:space="preserve">     -</t>
  </si>
  <si>
    <t>a) od jednostek powiązanych, w tym:</t>
  </si>
  <si>
    <t>Przychody netto ze sprzedaży produktów, razem</t>
  </si>
  <si>
    <t>PRZYCHODY NETTO ZE SPRZEDAŻY PRODUKTÓW (STRUKTURA TERYTORIALNA)</t>
  </si>
  <si>
    <t>WARTOŚCI NIEMATERIALNE I PRAWNE</t>
  </si>
  <si>
    <t>Główne różnice pomiędzy zyskiem brutto w rachunku zysków i strat a podstawą opodatkowania podatkiem dochodowym</t>
  </si>
  <si>
    <t>1. Różnice trwałe:</t>
  </si>
  <si>
    <t xml:space="preserve">   - odszkodowanie dla banku z powodu zerwania kontraktu terminowego</t>
  </si>
  <si>
    <t>b) utworzone rezerwy (z tytułu)</t>
  </si>
  <si>
    <t>Inne koszty finansowe, razem</t>
  </si>
  <si>
    <t>ZYSKI NADZWYCZAJNE</t>
  </si>
  <si>
    <t>a) losowe</t>
  </si>
  <si>
    <t>Zyski nadzwyczajne, razem</t>
  </si>
  <si>
    <t xml:space="preserve">b4. pozostałe waluty w tys. zł </t>
  </si>
  <si>
    <t>Należności krótkoterminowe netto, razem</t>
  </si>
  <si>
    <t>INNE INWESTYCJE KRÓTKOTERMINOWE (wg rodzaju)</t>
  </si>
  <si>
    <t>Inne inwestycje krótkoterminowe, razem</t>
  </si>
  <si>
    <t xml:space="preserve">   a) w jednostkach zależnych</t>
  </si>
  <si>
    <t xml:space="preserve">     - należności z tytułu dywidend i innych udziałów w zyskach</t>
  </si>
  <si>
    <t xml:space="preserve">     - dłużne papiery wartościowe</t>
  </si>
  <si>
    <t>A. Udziały lub akcje</t>
  </si>
  <si>
    <t xml:space="preserve">   - aport</t>
  </si>
  <si>
    <t xml:space="preserve">   - sprzedaż </t>
  </si>
  <si>
    <t xml:space="preserve">   - przeklasyfikowanie do inwestycji krótkoterminowych</t>
  </si>
  <si>
    <t>ZMIANA STANU ODPISÓW AKTUALIZUJĄCYCH WARTOŚĆ NALEŻNOŚCI KRÓTKOTERMINOWYCH</t>
  </si>
  <si>
    <t>a) do 1 miesiąca</t>
  </si>
  <si>
    <t>Stan odpisów aktualizujących wartość należności krótkoterminowych na koniec okresu</t>
  </si>
  <si>
    <t>c) odniesione na kapitał własny w związku z ujemnymi różnicami przejściowymi (z tytułu):</t>
  </si>
  <si>
    <t xml:space="preserve">     c) odniesionych na wartość firmy lub ujemną wartość firmy</t>
  </si>
  <si>
    <t>b) odniesione na wynik finansowy okresu w związku ze stratą podatkową (z tytułu):</t>
  </si>
  <si>
    <t xml:space="preserve">   - ubezpieczenia</t>
  </si>
  <si>
    <t xml:space="preserve">   - koszty wynajmu</t>
  </si>
  <si>
    <t xml:space="preserve">   - naprawy i remonty</t>
  </si>
  <si>
    <t xml:space="preserve">   - koszty pozwoleń na pracę </t>
  </si>
  <si>
    <t xml:space="preserve">   - koszty (netto) organizacji spółki akcyjnej</t>
  </si>
  <si>
    <t xml:space="preserve">Środki trwałe bilansowe, razem </t>
  </si>
  <si>
    <t>Odpisy aktualizujące</t>
  </si>
  <si>
    <t>Nota 9B</t>
  </si>
  <si>
    <t xml:space="preserve">              ...</t>
  </si>
  <si>
    <t xml:space="preserve">     - .....</t>
  </si>
  <si>
    <t xml:space="preserve">       c1 .....</t>
  </si>
  <si>
    <t xml:space="preserve">       c2 .....</t>
  </si>
  <si>
    <t>III. Jednostki zależne konsolidowane metodą pełną:</t>
  </si>
  <si>
    <t>Dromex Cieszyn S.A.</t>
  </si>
  <si>
    <t xml:space="preserve">       - rezerwa na niewykorzystane urlopy</t>
  </si>
  <si>
    <t xml:space="preserve">       - rezerwa na premie</t>
  </si>
  <si>
    <t xml:space="preserve">       - inne </t>
  </si>
  <si>
    <t xml:space="preserve">       - otrzymane zaliczki kontraktowe</t>
  </si>
  <si>
    <t>a) odniesione na wynik finansowy okresu z tytułu dodatnich różnic przejściowych (z tytułu):</t>
  </si>
  <si>
    <t>4. Stan rezerwy na koniec okresu (wg tytułów):</t>
  </si>
  <si>
    <t xml:space="preserve">   - rezerwy na należności</t>
  </si>
  <si>
    <t>Nota 4K</t>
  </si>
  <si>
    <t>Nota 5A.1</t>
  </si>
  <si>
    <t>Nota 6.</t>
  </si>
  <si>
    <t>b) odniesione na wynik finansowy okresu w związku ze strata podatkową (z tytułu):</t>
  </si>
  <si>
    <t>a) odniesione na wynik finansowy okresu w związku z ujemnymi różnicami przejściowymi (z tytułu):</t>
  </si>
  <si>
    <t>d) odniesione na kapitał własny w związku ze strata podatkową (z tytułu):</t>
  </si>
  <si>
    <t>XVII. Rozwodniony zysk (strata) na jedną akcję zwykłą (w zł/EUR)</t>
  </si>
  <si>
    <t>XVIII. Wartość księgowa na jedną akcję (w zł/EUR)</t>
  </si>
  <si>
    <t>XIX. Rozwodniona wartość księgowa na jedną akcję (w zł/EUR)</t>
  </si>
  <si>
    <t>XX. Zadeklarowana lub wypłacona dywidenda na jedną akcję (w zł/EUR)</t>
  </si>
  <si>
    <t>kurs EUR na 31.12.2004r. / 31.12.2003r.</t>
  </si>
  <si>
    <t>Rozwodniona wartość księgowa na jedną akcję (w zł)</t>
  </si>
  <si>
    <t>Zysk (strata) netto (zanualizowany)</t>
  </si>
  <si>
    <t>Średnia ważona liczba akcji zwykłych</t>
  </si>
  <si>
    <t xml:space="preserve">   -rozwiązanie rezerw</t>
  </si>
  <si>
    <t xml:space="preserve">   -odsetki  zapłacone, naliczone w poprzednim okresie</t>
  </si>
  <si>
    <t xml:space="preserve">   -wycena kontraktów</t>
  </si>
  <si>
    <t xml:space="preserve"> </t>
  </si>
  <si>
    <t>Stan rezerwy z tytułu odroczonego podatku dochodowego na koniec okresu, razem</t>
  </si>
  <si>
    <t xml:space="preserve">    - na rzecz jednostki dominującej</t>
  </si>
  <si>
    <t>Budimex Latvia Sp. z o.o.</t>
  </si>
  <si>
    <t>PRZYCHODY NETTO ZE SPRZEDAŻY TOWARÓW I MATERIAŁÓW (STRUKTURA TERYTORIALNA)</t>
  </si>
  <si>
    <t>KOSZTY WEDŁUG RODZAJU</t>
  </si>
  <si>
    <t>Koszty według rodzaju, razem</t>
  </si>
  <si>
    <t>PKZ Budimex Sp. z o.o.</t>
  </si>
  <si>
    <t>Ost Wood Grodno</t>
  </si>
  <si>
    <t>Dromex Oil Sp. z o.o.</t>
  </si>
  <si>
    <t xml:space="preserve">   - od jednostek współzależnych</t>
  </si>
  <si>
    <t xml:space="preserve">   - od jednostek stowarzyszonych</t>
  </si>
  <si>
    <t xml:space="preserve">   - od jednostki dominującej</t>
  </si>
  <si>
    <t>ZMIANA STANU POZOSTAŁYCH REZERW KRÓTKOTERMINOWYCH (WG TYTUŁÓW)</t>
  </si>
  <si>
    <t>b4. pozostałe waluty w zł</t>
  </si>
  <si>
    <t xml:space="preserve">    - długoterminowe (wg tytułów)</t>
  </si>
  <si>
    <t xml:space="preserve">       - rezerwy na naprawy gwarancyjne</t>
  </si>
  <si>
    <t xml:space="preserve">       - rezerwy na niezafakturowane koszty usług</t>
  </si>
  <si>
    <t xml:space="preserve">     - wątpliwych należności</t>
  </si>
  <si>
    <t xml:space="preserve">   - pozostałe - nieobowiązkowe składki</t>
  </si>
  <si>
    <t xml:space="preserve">NALEŻNOŚCI DŁUGO- I KRÓTKOTERMINOWE PRZETERMINOWANE (BRUTTO) Z PODZIAŁEM NA TYTUŁY </t>
  </si>
  <si>
    <t>Należności przeterminowane z tytułu dostaw i usług,</t>
  </si>
  <si>
    <t>Należności przeterminowane z tytułu podatków, dotacji i ubezpieczeń społecznych</t>
  </si>
  <si>
    <t xml:space="preserve">   - amortyzacja i ubezpieczenie samochodów ponad limit </t>
  </si>
  <si>
    <t xml:space="preserve">   - odpisane należności </t>
  </si>
  <si>
    <t xml:space="preserve">Należności przeterminowane z tytułu dywidend i innych udziałów w zyskach, </t>
  </si>
  <si>
    <t>Pozostałe należności przeterminowane</t>
  </si>
  <si>
    <t xml:space="preserve">   - na opcje menedżerskie</t>
  </si>
  <si>
    <t xml:space="preserve">   - darowizny </t>
  </si>
  <si>
    <t>ŚRODKI PIENIĘŻNE I INNE AKTYWA PIENIĘŻNE (STRUKTURA WALUTOWA)</t>
  </si>
  <si>
    <t xml:space="preserve"> Środki pieniężne, razem</t>
  </si>
  <si>
    <t xml:space="preserve">c) pozostałe, w tym: </t>
  </si>
  <si>
    <t xml:space="preserve">          VAT należny - odłożony</t>
  </si>
  <si>
    <t xml:space="preserve">          pozostałe zobowiązania zagraniczne</t>
  </si>
  <si>
    <t xml:space="preserve">          rozrachunki z tytułu polis ubezpieczeniowych</t>
  </si>
  <si>
    <t>POZOSTAŁE KAPITAŁY REZERWOWE (WEDŁUG CELU PRZEZNACZENIA)</t>
  </si>
  <si>
    <t xml:space="preserve">   -</t>
  </si>
  <si>
    <t>ODPISY AKTUALIZUJĄCE WARTOŚĆ AKTYWÓW NIEFINANSOWYCH (WG TYTUŁÓW)</t>
  </si>
  <si>
    <t>Odpisy aktualizujące wartość aktywów niefinansowych, razem</t>
  </si>
  <si>
    <t xml:space="preserve">   - opcje </t>
  </si>
  <si>
    <t xml:space="preserve">   - sprzedaż wierzytelności</t>
  </si>
  <si>
    <t>ZMIANA STANU DŁUGOTERMINOWEJ REZERWY NA ŚWIADCZENIA EMERYTALNE I PODOBNE (WG TYTUŁÓW)</t>
  </si>
  <si>
    <t>Przedsiębiorstwo Budowlane Katowice S.A.</t>
  </si>
  <si>
    <t>Bipromet S.A., w tym:</t>
  </si>
  <si>
    <t>Budimex Poznań Developer Sp. z o.o.</t>
  </si>
  <si>
    <t>Budchem Sp. z o.o.</t>
  </si>
  <si>
    <t>PPHU Promos Sp. z o.o.</t>
  </si>
  <si>
    <t>ZRE Kraków Sp. z o.o.</t>
  </si>
  <si>
    <t xml:space="preserve">  - ujętego w wartości firmy lub ujemnej wartości firmy (dotyczy jednostkowych sprawozdań finansowych w przypadku połączenia)</t>
  </si>
  <si>
    <t xml:space="preserve">   -dodatnie różnice kursowe niezrealizowane</t>
  </si>
  <si>
    <t>Bipromet Ekosystem Sp. z o.o.</t>
  </si>
  <si>
    <t>Budimex Kaliningrad S.A.</t>
  </si>
  <si>
    <t>c) usługi obce</t>
  </si>
  <si>
    <t>d) podatki i opłaty</t>
  </si>
  <si>
    <t>e) wynagrodzenia</t>
  </si>
  <si>
    <t>f) ubezpieczenia społeczne i inne świadczenia</t>
  </si>
  <si>
    <t>g) pozostałe koszty rodzajowe (z tytułu):</t>
  </si>
  <si>
    <t xml:space="preserve">   .....</t>
  </si>
  <si>
    <t xml:space="preserve">   - koszty wdrożenia systemu R3</t>
  </si>
  <si>
    <t>3. Zmniejszenia (z tytułu)</t>
  </si>
  <si>
    <t xml:space="preserve">b) pozostałe rozliczenia międzyokresowe, w tym: </t>
  </si>
  <si>
    <t xml:space="preserve">     - inne środki pieniężne</t>
  </si>
  <si>
    <t>a) otrzymanych gwarancji i poręczeń, w tym:</t>
  </si>
  <si>
    <t xml:space="preserve">    - od jednostek zależnych</t>
  </si>
  <si>
    <t xml:space="preserve">    - od jednostek współzależnych</t>
  </si>
  <si>
    <t xml:space="preserve">    - od jednostek stowarzyszonych</t>
  </si>
  <si>
    <t xml:space="preserve">    - od znaczącego inwestora</t>
  </si>
  <si>
    <t xml:space="preserve">    - od jednostki dominującej</t>
  </si>
  <si>
    <t>Należności warunkowe od jednostek powiązanych, razem</t>
  </si>
  <si>
    <t>a) amortyzacja</t>
  </si>
  <si>
    <t xml:space="preserve">     - inne(aktualizacja odpisu na rynku niemieckim)</t>
  </si>
  <si>
    <t xml:space="preserve">     tys zł</t>
  </si>
  <si>
    <t xml:space="preserve">   - postępowanie układowe</t>
  </si>
  <si>
    <t>XV. Liczba akcji (w szt.)</t>
  </si>
  <si>
    <t>Nota 8B</t>
  </si>
  <si>
    <t xml:space="preserve">       - otrzymane zaliczki na poczet przyszłych świadczeń</t>
  </si>
  <si>
    <t>Inne rozliczenia międzyokresowe, razem</t>
  </si>
  <si>
    <t>ZAPASY</t>
  </si>
  <si>
    <t>b) od pozostałych jednostek (z tytułu):</t>
  </si>
  <si>
    <t>NALEŻNOŚCI KRÓTKOTERMINOWE BRUTTO (STRUKTURA WALUTOWA)</t>
  </si>
  <si>
    <t>g) odpisy aktualizujące wartość należności z tytułu dostaw i usług</t>
  </si>
  <si>
    <t>f) odpisy aktualizujące wartość należności z tytułu dostaw i usług, przeterminowane</t>
  </si>
  <si>
    <t>Nota 9A</t>
  </si>
  <si>
    <t xml:space="preserve">         - dla jednostek stowarzyszonych</t>
  </si>
  <si>
    <t xml:space="preserve">         - dla znaczącego inwestora</t>
  </si>
  <si>
    <t xml:space="preserve">         - dla jednostki dominującej</t>
  </si>
  <si>
    <t>Należności długoterminowe razem</t>
  </si>
  <si>
    <t>Stan odpisów aktualizujących wartość należności długoterminowych na koniec okresu</t>
  </si>
  <si>
    <t>ZMIANA STANU NIERUCHOMOŚCI (wg grup rodzajowych)</t>
  </si>
  <si>
    <t>a) stan na początek okresu (wg grup rodzajowych)</t>
  </si>
  <si>
    <t>d) stan na koniec okresu (wg grup rodzajowych)</t>
  </si>
  <si>
    <t>Nieruchomości, razem</t>
  </si>
  <si>
    <t xml:space="preserve"> - inne różnice</t>
  </si>
  <si>
    <t>ZMIANA STANU WARTOŚCI NIEMATERIALNYCH I PRAWNYCH (wg grup rodzajowych)</t>
  </si>
  <si>
    <t>Wartości niematerialne i prawne, razem</t>
  </si>
  <si>
    <t>DŁUGOTERMINOWE AKTYWA FINANSOWE</t>
  </si>
  <si>
    <t xml:space="preserve">   - udziały lub akcje</t>
  </si>
  <si>
    <t xml:space="preserve"> - zmiana stanu zobowiązań z tytułu wyemitowanych papierów wartościowych</t>
  </si>
  <si>
    <t>Noty objaśniające do rachunku przepływów pieniężnych</t>
  </si>
  <si>
    <t>POZOSTAŁE KOREKTY (DZIAŁALNOŚĆ OPERACYJNA)</t>
  </si>
  <si>
    <t>d) w znaczącym inwestorze</t>
  </si>
  <si>
    <t>INNE INWESTYCJE KRÓTKOTERMINOWE (struktura walutowa)</t>
  </si>
  <si>
    <t xml:space="preserve">   - dotyczący pozycji, które zmniejszyły lub zwiększyły wartość firmy lub ujemną wartość firmy</t>
  </si>
  <si>
    <t xml:space="preserve">     - udziały lub akcje</t>
  </si>
  <si>
    <t xml:space="preserve">     - udzielone pożyczki</t>
  </si>
  <si>
    <t>C. Z nieograniczoną zbywalnością, nienotowane na rynku regulowanym (wartość bilansowa)</t>
  </si>
  <si>
    <t>Wartość na początek okresu, razem</t>
  </si>
  <si>
    <t>b) zużycie materiałów i energii</t>
  </si>
  <si>
    <t xml:space="preserve">   - zwrot opłat za pozwolenia na pracę na rynku niemieckim</t>
  </si>
  <si>
    <t xml:space="preserve">     c) odniesionej na wartość firmy lub ujemną wartość firmy</t>
  </si>
  <si>
    <t xml:space="preserve">   - z tytułu podatków, dotacji, ceł, ubezpieczeń społecznych i zdrowotnych oraz innych świadczeń</t>
  </si>
  <si>
    <t>Należności krótkoterminowe brutto, razem</t>
  </si>
  <si>
    <t xml:space="preserve">     - inne aktywa pieniężne</t>
  </si>
  <si>
    <t xml:space="preserve">     - od jednostek powiązanych</t>
  </si>
  <si>
    <t xml:space="preserve">     - inne papiery wartościowe (wg rodzaju)</t>
  </si>
  <si>
    <t xml:space="preserve">         ...</t>
  </si>
  <si>
    <t xml:space="preserve">   - wykazany w rachunku zysków i strat</t>
  </si>
  <si>
    <t xml:space="preserve">   - dotyczący pozycji, które zmniejszyły lub zwiększyły kapitał własny</t>
  </si>
  <si>
    <t>Nota 16.</t>
  </si>
  <si>
    <t>Nota 17.</t>
  </si>
  <si>
    <t>Liczba</t>
  </si>
  <si>
    <t>Wartość wg cen nabycia</t>
  </si>
  <si>
    <t>Wartość bilansowa</t>
  </si>
  <si>
    <t>Cel nabycia</t>
  </si>
  <si>
    <t>Przeznaczenie</t>
  </si>
  <si>
    <t>4. stan aktywów na koniec okresu (wg tytułów):</t>
  </si>
  <si>
    <t>Mostostal Kraków S.A.</t>
  </si>
  <si>
    <t>b) w walutach obcych (wg walut i po przeliczeniu na zł)</t>
  </si>
  <si>
    <t>Zmiana stanu należności w sprawozdaniu z przepływów pieniężnych</t>
  </si>
  <si>
    <t>Rzeczowe aktywa trwałe, razem</t>
  </si>
  <si>
    <t>ŚRODKI TRWAŁE WYKAZYWANE POZABILANSOWO</t>
  </si>
  <si>
    <t>Nota 3B</t>
  </si>
  <si>
    <t>Nota 4A</t>
  </si>
  <si>
    <t>Nota 4B</t>
  </si>
  <si>
    <t>Nota 4C</t>
  </si>
  <si>
    <t xml:space="preserve">      tys. zł.</t>
  </si>
  <si>
    <t>b4. pozostałe waluty w tys. zł.</t>
  </si>
  <si>
    <t>Należności długoterminowe, razem</t>
  </si>
  <si>
    <t>Nota 5A</t>
  </si>
  <si>
    <t>Nota 5B</t>
  </si>
  <si>
    <t xml:space="preserve">   - zrealizowane</t>
  </si>
  <si>
    <t xml:space="preserve">   - niezrealizowane</t>
  </si>
  <si>
    <t>POZOSTAŁE OBOWIĄZKOWE ZMNIEJSZENIA ZYSKU (ZWIĘKSZENIA STRATY), Z TYTUŁU:</t>
  </si>
  <si>
    <t>Pozostałe obowiązkowe zmniejszenia zysku (zwiększenia straty), razem</t>
  </si>
  <si>
    <t>b) pozostałe (wg tytułów)</t>
  </si>
  <si>
    <t xml:space="preserve">   ...</t>
  </si>
  <si>
    <t>PODATEK DOCHODOWY BIEŻĄCY</t>
  </si>
  <si>
    <t xml:space="preserve">     - budynki, lokale i obiekty inżynierii lądowej i wodnej</t>
  </si>
  <si>
    <t xml:space="preserve">     - inne nieruchomości</t>
  </si>
  <si>
    <t xml:space="preserve">   - WNiPr. w leasingu</t>
  </si>
  <si>
    <t>a) czynne rozliczenia międzyokresowe kosztów, w tym:</t>
  </si>
  <si>
    <t xml:space="preserve">       - wycena kontraktów - korekta przychodów</t>
  </si>
  <si>
    <t>Budimex S.A.</t>
  </si>
  <si>
    <t>Budimex Nieruchomości Sp. z o.o.</t>
  </si>
  <si>
    <t>Zarat S.A.</t>
  </si>
  <si>
    <t>Centrum Konferencyjne Budimex Sp. z o.o.</t>
  </si>
  <si>
    <t>Elektromontaż Poznań S.A.</t>
  </si>
  <si>
    <t>Montin S.A. (konsolidowana metodą praw własności)</t>
  </si>
  <si>
    <t>d) odpisy aktualizujące wartość należności od jednostek powiązanych</t>
  </si>
  <si>
    <t>V. Jednostki stowarzyszone konsolidowane :</t>
  </si>
  <si>
    <t>VI. Jednostki współzależne niekonsolidowane:</t>
  </si>
  <si>
    <t>VII. Jednostki zależne niekonsolidowane:</t>
  </si>
  <si>
    <t>Budimex Bau GmbH</t>
  </si>
  <si>
    <t>NOTA 19D, 19E</t>
  </si>
  <si>
    <t xml:space="preserve">   - inne (likwidacja, aport, wycena)</t>
  </si>
  <si>
    <t>c) utworzony zgodnie ze statutem / umową, ponad wymaganą ustawowo (minimalną) wartość</t>
  </si>
  <si>
    <t>1. Stan rezerwy na początek okresu, w tym:</t>
  </si>
  <si>
    <t xml:space="preserve">     - środki pieniężne w kasie i na rachunkach</t>
  </si>
  <si>
    <t xml:space="preserve">   - budynki, lokale i obiekty inżynierii lądowej i wodnej</t>
  </si>
  <si>
    <t>ZPREP Energetyka Czerwonak S.A.</t>
  </si>
  <si>
    <t>MK Logistic Sp. z o.o.</t>
  </si>
  <si>
    <t xml:space="preserve">  - payment of dividend</t>
  </si>
  <si>
    <t xml:space="preserve">   - wartość zlikwidowanego majątku trwałego</t>
  </si>
  <si>
    <t xml:space="preserve">   - korekty wyceny kontraktów budowlanych </t>
  </si>
  <si>
    <t xml:space="preserve">   - umorzone odsetki</t>
  </si>
  <si>
    <t>Nota 32.</t>
  </si>
  <si>
    <t xml:space="preserve">   - zwrot kosztów procesu</t>
  </si>
  <si>
    <t xml:space="preserve">   zakwaterowanie pracowników</t>
  </si>
  <si>
    <t xml:space="preserve">   podróże służbowe</t>
  </si>
  <si>
    <t xml:space="preserve">   pozostałe</t>
  </si>
  <si>
    <t xml:space="preserve">   reprezentacja i reklama</t>
  </si>
  <si>
    <t>Pozostałe korekty działalności operacyjnej razem</t>
  </si>
  <si>
    <t xml:space="preserve">       - rezerwy na straty na kontraktach</t>
  </si>
  <si>
    <t>b) pozostałe (z tytułu)</t>
  </si>
  <si>
    <t>b.1. wystawionych weksli jako zabezpieczenie, w tym:</t>
  </si>
  <si>
    <t>- odpis wartości firmy jednostek podporządkowanych</t>
  </si>
  <si>
    <t>- odpis ujemnej wartości firmy jednostek podporządkowanych</t>
  </si>
  <si>
    <t>- odpis różnicy w wycenie aktywów netto</t>
  </si>
  <si>
    <t>B. Dłużne papiery wartościowe</t>
  </si>
  <si>
    <t>C. Inne papiery wartościowe</t>
  </si>
  <si>
    <t>D. Udzielone pożyczki</t>
  </si>
  <si>
    <t>E. Inne długoterminowe aktywa finansowe</t>
  </si>
  <si>
    <t xml:space="preserve">     - wartość według cen nabycia</t>
  </si>
  <si>
    <t>Pozostałe rezerwy długoterminowe, razem</t>
  </si>
  <si>
    <t>Pozostałe rezerwy krótkoterminowe, razem</t>
  </si>
  <si>
    <t xml:space="preserve">     - inne</t>
  </si>
  <si>
    <t>ZOBOWIĄZANIA DŁUGOTERMINOWE</t>
  </si>
  <si>
    <t>a) wobec jednostek zależnych</t>
  </si>
  <si>
    <t xml:space="preserve">    - kredyty i pożyczki</t>
  </si>
  <si>
    <t xml:space="preserve">     ...</t>
  </si>
  <si>
    <t xml:space="preserve">    - z tytułu emisji dłużnych papierów wartościowych</t>
  </si>
  <si>
    <t xml:space="preserve">    - inne (wg rodzaju)</t>
  </si>
  <si>
    <t xml:space="preserve">    - inne zobowiązania finansowe, w tym:</t>
  </si>
  <si>
    <t>UDZIELONE POŻYCZKI DŁUGOTERMINOWE (STRUKTURA WALUTOWA)</t>
  </si>
  <si>
    <t>Udzielone pożyczki długoterminowe, razem</t>
  </si>
  <si>
    <t>b4. jednostka/waluta    .............../................</t>
  </si>
  <si>
    <t xml:space="preserve">b5. pozostałe waluty w tys. zł </t>
  </si>
  <si>
    <t xml:space="preserve">        - wartość rynkowa</t>
  </si>
  <si>
    <t xml:space="preserve">     - wartość rynkowa</t>
  </si>
  <si>
    <t xml:space="preserve">     Zakładowy Fundusz Świadczeń Socjalnych</t>
  </si>
  <si>
    <t xml:space="preserve"> - dla pozostałych jednostek</t>
  </si>
  <si>
    <t>Koszty finansowe z tytułu odsetek, razem</t>
  </si>
  <si>
    <t>INNE KOSZTY FINANSOWE</t>
  </si>
  <si>
    <t xml:space="preserve">     b) odniesionej na kapitał własny</t>
  </si>
  <si>
    <t>Długoterminowe aktywa finansowe, razem</t>
  </si>
  <si>
    <t xml:space="preserve"> - dla jednostek powiązanych, w tym:</t>
  </si>
  <si>
    <t xml:space="preserve">         - dla jednostek zależnych</t>
  </si>
  <si>
    <t xml:space="preserve">         - dla jednostek współzależnych</t>
  </si>
  <si>
    <t xml:space="preserve">     c) odniesionych na wartośc firmy lub ujemną wartość firmy</t>
  </si>
  <si>
    <t>Stan aktywów z tytułu odroczonego podatku dochodowego, razem</t>
  </si>
  <si>
    <t>INNE ROZLICZENIA MIĘDZYOKRESOWE</t>
  </si>
  <si>
    <t>WYBRANE DANE FINANSOWE</t>
  </si>
  <si>
    <t>rok 2004</t>
  </si>
  <si>
    <t>rok 2003</t>
  </si>
  <si>
    <t>I. Przychody netto ze sprzedaży produktów, towarów i materiałów</t>
  </si>
  <si>
    <t>II. Zysk (strata) z działalności operacyjnej</t>
  </si>
  <si>
    <t>d) różnice kursowe z przeliczenia oddziałów zagranicznych</t>
  </si>
  <si>
    <t>c) Rynki Europy Wschodniej</t>
  </si>
  <si>
    <t xml:space="preserve">b) środki trwałe </t>
  </si>
  <si>
    <t>a) wartości niematerialne i prawne</t>
  </si>
  <si>
    <t>c) należności (upłynięcie terminu płatności)</t>
  </si>
  <si>
    <t>d) zapasy  (utrata przydatności)</t>
  </si>
  <si>
    <t xml:space="preserve">           - do 12 miesięcy</t>
  </si>
  <si>
    <t xml:space="preserve">           - powyżej 12 miesięcy</t>
  </si>
  <si>
    <t xml:space="preserve">   - inne</t>
  </si>
  <si>
    <t xml:space="preserve">   - dochodzone na drodze sądowej</t>
  </si>
  <si>
    <t>b) należności od pozostałych jednostek</t>
  </si>
  <si>
    <t xml:space="preserve">          - do 12 miesięcy</t>
  </si>
  <si>
    <t xml:space="preserve">          - powyżej 12 miesięcy</t>
  </si>
  <si>
    <t>a) ujemne różnice kursowe  *)</t>
  </si>
  <si>
    <t>*) nadwyżka ujemnych różnic kursowych nad dodatnimi.</t>
  </si>
  <si>
    <t>Różnice kursowe w podziale na ujemne i dodatnie przedstawiają się następująco:</t>
  </si>
  <si>
    <t xml:space="preserve">   - różnice kursowe z przeliczenia udziałów w spółkach zagranicznych</t>
  </si>
  <si>
    <t xml:space="preserve">     - powstania różnic przejściowych  </t>
  </si>
  <si>
    <t xml:space="preserve">     - zmiany stawki podatkowej</t>
  </si>
  <si>
    <t xml:space="preserve">   - inne (aktualizacja wyceny)</t>
  </si>
  <si>
    <t xml:space="preserve">   - zmiana regulaminu wypłat</t>
  </si>
  <si>
    <t xml:space="preserve">   - inne (zmiana regulaminu wypłat)</t>
  </si>
  <si>
    <t>Nota 20A</t>
  </si>
  <si>
    <t>Nota 20B</t>
  </si>
  <si>
    <t>Nota 18C</t>
  </si>
  <si>
    <t>Nota 21A</t>
  </si>
  <si>
    <t>Nota 21B</t>
  </si>
  <si>
    <t>Nota 23A</t>
  </si>
  <si>
    <t>Nota 23B</t>
  </si>
  <si>
    <t xml:space="preserve">     - zmiany stawek podatkowych</t>
  </si>
  <si>
    <t xml:space="preserve">     - nieujętej różnicy przejściowej poprzedniego okresu</t>
  </si>
  <si>
    <t xml:space="preserve">     - powstania straty podatkowej</t>
  </si>
  <si>
    <t xml:space="preserve">     - nieujetej w poprzednich okresach straty podatkowej</t>
  </si>
  <si>
    <t xml:space="preserve">     - ...</t>
  </si>
  <si>
    <t>c) pozostałe, w tym:</t>
  </si>
  <si>
    <t xml:space="preserve">   - ..........</t>
  </si>
  <si>
    <t xml:space="preserve"> - inne</t>
  </si>
  <si>
    <t xml:space="preserve">    - na rzecz jednostek zależnych </t>
  </si>
  <si>
    <t>w tys. zł.</t>
  </si>
  <si>
    <t>w tys. EUR</t>
  </si>
  <si>
    <t>b) inne, w tym:</t>
  </si>
  <si>
    <t>c) dochodzone na drodze sądowej, w tym:</t>
  </si>
  <si>
    <t>PODATEK DOCHODOWY ODROCZONY, WYKAZANY W RACHUNKU ZYSKÓW I STRAT</t>
  </si>
  <si>
    <t xml:space="preserve">   - zmniejszenie (zwiększenie) z tytułu zmiany stawek podatkowych</t>
  </si>
  <si>
    <t xml:space="preserve">   c) inne - wg grup rodzajowych (wartość bilansowa):</t>
  </si>
  <si>
    <t>Nota 15.</t>
  </si>
  <si>
    <t>ODPISY Z ZYSKU NETTO W CIĄGU ROKU OBROTOWEGO (z tytułu)</t>
  </si>
  <si>
    <t>III. Zysk (strata) brutto</t>
  </si>
  <si>
    <t>IV. Zysk (strata) netto</t>
  </si>
  <si>
    <t>V. Przepływy pieniężne netto z działalności operacyjnej</t>
  </si>
  <si>
    <t>D. Z ograniczoną zbywalnością (wartość bilansowa)</t>
  </si>
  <si>
    <t xml:space="preserve">    a) akcje i udziały (wartość bilansowa):</t>
  </si>
  <si>
    <t xml:space="preserve">   - postępowanie układowe </t>
  </si>
  <si>
    <t xml:space="preserve">   - zmiana składu Grupy</t>
  </si>
  <si>
    <t xml:space="preserve">   - otrzymanie zapłaty </t>
  </si>
  <si>
    <t xml:space="preserve">   - spisanie należności </t>
  </si>
  <si>
    <t xml:space="preserve">       ...</t>
  </si>
  <si>
    <t>- środki trwałe w leasingu</t>
  </si>
  <si>
    <t xml:space="preserve">    - wartość gruntów użytkowanych wieczyście</t>
  </si>
  <si>
    <t xml:space="preserve">    - środki trwałe leasingowane</t>
  </si>
  <si>
    <t xml:space="preserve">    - dzierżawa </t>
  </si>
  <si>
    <t>ZOBOWIĄZANIA KRÓTKOTERMINOWE (STRUKTURA WALUTOWA)</t>
  </si>
  <si>
    <t>b) zwiększenia (z tytułu):</t>
  </si>
  <si>
    <t>c) zmniejszenia (z tytułu):</t>
  </si>
  <si>
    <t xml:space="preserve">     - grunty</t>
  </si>
  <si>
    <t xml:space="preserve">         - od jednostek zależnych</t>
  </si>
  <si>
    <t>b.2. inne należności warunkowe, w tym:</t>
  </si>
  <si>
    <t xml:space="preserve">   - strata na transakcji Forward</t>
  </si>
  <si>
    <t>Wartość według cen nabycia, razem</t>
  </si>
  <si>
    <t>Wartość bilansowa, razem</t>
  </si>
  <si>
    <t>NALEŻNOŚCI KRÓTKOTERMINOWE OD JEDNOSTEK POWIĄZANYCH</t>
  </si>
  <si>
    <t>a) z tytułu dostaw i usług, w tym:</t>
  </si>
  <si>
    <t xml:space="preserve">   - od znaczącego inwestora</t>
  </si>
  <si>
    <t>Należności krótkotermin. od jednostek powiąz. brutto, razem</t>
  </si>
  <si>
    <t>NALEŻNOŚCI WARUNKOWE OD JEDNOSTEK POWIĄZANYCH (z tytułu)</t>
  </si>
  <si>
    <t>NOTA 1 B</t>
  </si>
  <si>
    <t>ZOBOWIĄZANIA WARUNKOWE NA RZECZ JEDNOSTEK POWIĄZANYCH (z tytułu)</t>
  </si>
  <si>
    <t>a) udzielonych gwarancji i poręczeń, w tym:</t>
  </si>
  <si>
    <t xml:space="preserve">    - na rzecz jednostek zależnych</t>
  </si>
  <si>
    <t>Należności przeterminowane dochodzone na drodze sądowej</t>
  </si>
  <si>
    <t>Zysk (strata) na jedną akcję zwykłą (w zł)  według formuły:
zysk netto dzielony przez średnią ważoną liczbę akcji zwykłych</t>
  </si>
  <si>
    <t xml:space="preserve">     - wykorzystania straty podatkowej</t>
  </si>
  <si>
    <t>*) UWAGA !!!</t>
  </si>
  <si>
    <t>2. Zwiększenia *):</t>
  </si>
  <si>
    <t>Wartość księgowa na jedną akcję (w zł)</t>
  </si>
  <si>
    <t>Rozwodniona liczba akcji</t>
  </si>
  <si>
    <t xml:space="preserve">   - wypłacone rekompensaty z tytułu opcji menedżerskich</t>
  </si>
  <si>
    <t xml:space="preserve">   - opłaty sądowe i egzekucje </t>
  </si>
  <si>
    <t xml:space="preserve">   - koszty windykacji wierzytelności</t>
  </si>
  <si>
    <t>Koszty sprzedaży (wielkość ujemna)</t>
  </si>
  <si>
    <t>Koszty ogólnego zarządu (wielkość ujemna)</t>
  </si>
  <si>
    <t>Koszt wytworzenia sprzedanych produktów</t>
  </si>
  <si>
    <t xml:space="preserve">   - od jednostek powiązanych</t>
  </si>
  <si>
    <t>Zmiana stanu zapasów, produktów i rozliczeń międzyokresowych</t>
  </si>
  <si>
    <t>Koszt wytworzenia produktów na własne potrzeby jednostki (wielkość ujemna)</t>
  </si>
  <si>
    <t>INNE PRZYCHODY OPERACYJNE</t>
  </si>
  <si>
    <t xml:space="preserve">   - niewykorzystane rezerwy na koszty roku poprzedniego</t>
  </si>
  <si>
    <t>b) pozostałe, w tym:</t>
  </si>
  <si>
    <t xml:space="preserve">   - odpis przedawnionych zobowiązań </t>
  </si>
  <si>
    <t>a) rozwiązane rezerwy (z tytułu)</t>
  </si>
  <si>
    <t>a) utworzone rezerwy (z tytułu)</t>
  </si>
  <si>
    <t xml:space="preserve">    - inne zmniejszenia</t>
  </si>
  <si>
    <t>C. .........................</t>
  </si>
  <si>
    <t>D. ........................</t>
  </si>
  <si>
    <t>INNE INWESTYCJE DŁUGOTERMINOWE (STRUKTURA WALUTOWA)</t>
  </si>
  <si>
    <t>Należności przeterminowane, razem (netto - pomniejszone o odpisy aktualizujące)</t>
  </si>
  <si>
    <t>NALEŻNOŚCI DŁUGO I KRÓTKOTERMINOWE SPORNE (BRUTTO) Z PODZIAŁEM NA TYTUŁY</t>
  </si>
  <si>
    <t>Korekty przychodów:</t>
  </si>
  <si>
    <t>Korekty kosztów</t>
  </si>
  <si>
    <t xml:space="preserve">   - odwrócenie odpisu aktualizującego sprzedanych akcji</t>
  </si>
  <si>
    <t xml:space="preserve">   - rezerwa na  premie</t>
  </si>
  <si>
    <t xml:space="preserve">   - zmniejszenie  rezerw na nagrody jubileuszowe</t>
  </si>
  <si>
    <t xml:space="preserve">   - rozwiązanie  rezerw na koszty podwykonawców</t>
  </si>
  <si>
    <t>Korekty kosztów:</t>
  </si>
  <si>
    <t xml:space="preserve"> Razem ( 1 +2)</t>
  </si>
  <si>
    <t xml:space="preserve">   - aporty</t>
  </si>
  <si>
    <t xml:space="preserve">Należności sporne z tytułu dostaw i usług, </t>
  </si>
  <si>
    <t>Należności sporne z tytułu podatków, dotacji i ubezpieczeń społecznych,</t>
  </si>
  <si>
    <t>Zobowiązania warunkowe na rzecz jednostek powiązanych, razem</t>
  </si>
  <si>
    <t>PRZYCHODY NETTO ZE SPRZEDAŻY PRODUKTÓW (STRUKTURA RZECZOWA - RODZAJE DZIAŁALNOŚCI)</t>
  </si>
  <si>
    <t>Spółka sporządza skonsolidowane sprawozdanie finansowe, w związku z czym w jednostkowym sprawozdaniu finansowym nie przedstawia informacji o wyniku na sprzedaży całości lub części udziałów (akcji) w poszczególnych jednostkach zależnych, współzależnych i stowarzyszonych, sposobie rozliczeń pomiędzy jednostką sprzedającą a kupującą udziały (akcje) oraz wartości księgowej każdej sprzedanej jednostki</t>
  </si>
  <si>
    <t>Nota 31.</t>
  </si>
  <si>
    <t xml:space="preserve">     Fundusz Restrukturyzacji</t>
  </si>
  <si>
    <t xml:space="preserve">     Międzyzakładowy Fundusz Mieszkaniowy</t>
  </si>
  <si>
    <t>b2. jednostka/waluta    tys. / USD</t>
  </si>
  <si>
    <t>Nota 35.</t>
  </si>
  <si>
    <t>Nota 36.</t>
  </si>
  <si>
    <t xml:space="preserve">   - zmniejszenie (zwiększenie) z tytułu powstania i odwrócenia się różnic przejściowych</t>
  </si>
  <si>
    <t>Nota 4O</t>
  </si>
  <si>
    <t>Nota 4Q</t>
  </si>
  <si>
    <t>Nota 4R</t>
  </si>
  <si>
    <t xml:space="preserve">   - od jednostek zależnych</t>
  </si>
  <si>
    <t>Nota 25D</t>
  </si>
  <si>
    <t>Nota 26.</t>
  </si>
  <si>
    <t>Nota 27.</t>
  </si>
  <si>
    <t>Nota 29A</t>
  </si>
  <si>
    <t>b1. jednostka/waluta    tys.  / DEM</t>
  </si>
  <si>
    <t xml:space="preserve">    - od jednostki dominującej (z tytułu)</t>
  </si>
  <si>
    <t xml:space="preserve">    - od jednostek współzależnych (z tytułu)</t>
  </si>
  <si>
    <t xml:space="preserve">    - od jednostek stowarzyszonych (z tytułu)</t>
  </si>
  <si>
    <t>c) odpisy aktualizujące wartość należności</t>
  </si>
  <si>
    <t>Noty objaśniające do bilansu</t>
  </si>
  <si>
    <t>Wartość księgowa (w tys. zł)</t>
  </si>
  <si>
    <t xml:space="preserve">   a)  przychody ze sprzedaży robót budowlano-montażowych, w tym: </t>
  </si>
  <si>
    <t>ZOBOWIĄZANIA I FUNDUSZE SPECJALNE</t>
  </si>
  <si>
    <t xml:space="preserve"> - zmiana stanu zobowiązań i funduszy specjalnych w bilansie</t>
  </si>
  <si>
    <t xml:space="preserve"> - zmiana stanu zobowiązań z tytułu kredytów i pożyczek</t>
  </si>
  <si>
    <t xml:space="preserve"> - zmiana stanu zobowiązań inwestycyjnych</t>
  </si>
  <si>
    <t xml:space="preserve">   - odszkodowania i odprawy z tyt. zwolnień z przyczyn ekonom.</t>
  </si>
  <si>
    <t xml:space="preserve">   - odsetki naliczone dot. postępowania układowego </t>
  </si>
  <si>
    <t>A. Odprawy emerytalne</t>
  </si>
  <si>
    <t xml:space="preserve">a) stan na początek okresu                         </t>
  </si>
  <si>
    <t xml:space="preserve">   - utworzenie rezerwy </t>
  </si>
  <si>
    <t>d) rozwiązanie (z tytułu)</t>
  </si>
  <si>
    <t xml:space="preserve">   - wypłaty </t>
  </si>
  <si>
    <t>e) stan na koniec okresu</t>
  </si>
  <si>
    <t>B. Nagrody jubileuszowe</t>
  </si>
  <si>
    <t xml:space="preserve">C. Odprawy dla pracowników </t>
  </si>
  <si>
    <t>D. Inne</t>
  </si>
  <si>
    <t>Długoterminowa rezerwa na świadczenia emerytalne i podobne, razem</t>
  </si>
  <si>
    <t>ZMIANA STANU KRÓTKOTERMINOWEJ REZERWY NA ŚWIADCZENIA EMERYTALNE I PODOBNE (WG TYTUŁÓW)</t>
  </si>
  <si>
    <t>Krótkoterminowa rezerwa na świadczenia emerytalne i podobne, razem</t>
  </si>
  <si>
    <t>ZMIANA STANU POZOSTAŁYCH REZERW DŁUGOTERMINOWYCH (WG TYTUŁÓW)</t>
  </si>
  <si>
    <t>A. Sprawy sądowe</t>
  </si>
  <si>
    <t>Rozliczenia międzyokresowe czynne z tytułu odroczonego podatku dochodowego wg tytułów:</t>
  </si>
  <si>
    <t>Nota 4P</t>
  </si>
  <si>
    <t>Nota 4S</t>
  </si>
  <si>
    <t>Nota 4T</t>
  </si>
  <si>
    <t>UDZIAŁ W ZYSKACH (STRATACH) NETTO JEDNOSTEK PODPORZĄDKOWANYCH WYCENIANYCH METODĄ PRAW WŁASNOŚCI, W TYM:</t>
  </si>
  <si>
    <t>a) środki trwałe, w tym:</t>
  </si>
  <si>
    <t xml:space="preserve">    - inne (wg tytułów):</t>
  </si>
  <si>
    <t xml:space="preserve">   - różnice kursowe z wyceny bilansowej</t>
  </si>
  <si>
    <t xml:space="preserve">   - odpis aktualizujący wartość finansowego majątku trwałego i obrotowego </t>
  </si>
  <si>
    <t xml:space="preserve">   - rezerwy na naprawy gwarancyjne</t>
  </si>
  <si>
    <t>Odpisy z zysku netto w ciągu roku obrotowego, razem</t>
  </si>
  <si>
    <t>ZMIANA STANU REZERWY Z TYTUŁU ODROCZONEGO PODATKU DOCHODOWEGO</t>
  </si>
  <si>
    <t xml:space="preserve">     a) odniesionej na wynik finansowy</t>
  </si>
  <si>
    <t>INNE KOSZTY OPERACYJNE</t>
  </si>
  <si>
    <t>Inne koszty operacyjne, razem</t>
  </si>
  <si>
    <t>Inne przychody operacyjne, razem</t>
  </si>
  <si>
    <t>PRZYCHODY FINANSOWE Z TYTUŁU DYWIDEND I UDZIAŁÓW W ZYSKACH</t>
  </si>
  <si>
    <t>Przychody finansowe z tytułu dywidend i udziałów w zyskach, razem</t>
  </si>
  <si>
    <t xml:space="preserve">   - na należności </t>
  </si>
  <si>
    <t>e) wobec jednostki dominującej</t>
  </si>
  <si>
    <t>f) wobec pozostałych jednostek</t>
  </si>
  <si>
    <t>Zobowiązania długoterminowe, razem</t>
  </si>
  <si>
    <t>ZOBOWIĄZANIA KRÓTKOTERMINOWE</t>
  </si>
  <si>
    <t xml:space="preserve">        - długoterminowe w okresie spłaty</t>
  </si>
  <si>
    <t xml:space="preserve">    - z tytułu dywidend</t>
  </si>
  <si>
    <t xml:space="preserve">    - z tytułu dostaw i usług, o okresie wymagalności:</t>
  </si>
  <si>
    <t xml:space="preserve">    - zaliczki otrzymane na dostawy</t>
  </si>
  <si>
    <t xml:space="preserve">    - zobowiązania wekslowe</t>
  </si>
  <si>
    <t xml:space="preserve">   -otrzymane dywidendy</t>
  </si>
  <si>
    <t xml:space="preserve">    -pozostałe</t>
  </si>
  <si>
    <t>kkkk</t>
  </si>
  <si>
    <t xml:space="preserve">    - z tytułu dostaw i usług, o okresie spłaty:</t>
  </si>
  <si>
    <t xml:space="preserve">     c) odniesionej na wartośc firmy lub ujemną wartość firmy</t>
  </si>
  <si>
    <t>Straty nadzwyczajne, razem</t>
  </si>
  <si>
    <t xml:space="preserve">    - na rzecz jednostek współzależnych</t>
  </si>
  <si>
    <t xml:space="preserve">    - na rzecz jednostek stowarzyszonych</t>
  </si>
  <si>
    <t xml:space="preserve">    - na rzecz znaczącego inwestora</t>
  </si>
  <si>
    <t>PAPIERY WARTOŚCIOWE, UDZIAŁY I INNE DŁUGOTERMIN. AKTYWA FINANSOWE (WG ZBYWALNOŚCI)</t>
  </si>
  <si>
    <t>NOTA 4C.1</t>
  </si>
  <si>
    <t>NOTA 4L</t>
  </si>
  <si>
    <t>NOTA 4M</t>
  </si>
  <si>
    <t>NOTA 4N</t>
  </si>
  <si>
    <t>NOTA 2B</t>
  </si>
  <si>
    <t>NOTA 5A.1</t>
  </si>
  <si>
    <t>NOTA 12 str1</t>
  </si>
  <si>
    <t>NOTA 12 str2</t>
  </si>
  <si>
    <t>NOTA 13</t>
  </si>
  <si>
    <t>NOTA 18A.1</t>
  </si>
  <si>
    <t xml:space="preserve">    - </t>
  </si>
  <si>
    <t>KAPITAŁ ZAPASOWY</t>
  </si>
  <si>
    <t>a) ze sprzedaży akcji powyżej ich wartości nominalnej</t>
  </si>
  <si>
    <t>b) utworzony ustawowo</t>
  </si>
  <si>
    <t>d) z dopłat akcjonariuszy / wspólników</t>
  </si>
  <si>
    <t>Kapitał zapasowy, razem</t>
  </si>
  <si>
    <t>Papiery wartościowe, udziały i inne krótkoterminowe aktywa finansowe, razem</t>
  </si>
  <si>
    <t xml:space="preserve">        - wartość godziwa</t>
  </si>
  <si>
    <t>Noty objaśniające do pozycji pozabilansowych</t>
  </si>
  <si>
    <t>1. kraj, w tym:</t>
  </si>
  <si>
    <t>2. eksport, w tym:</t>
  </si>
  <si>
    <t>WARTOŚCI NIEMATERIALNE I PRAWNE (struktura własnościowa)</t>
  </si>
  <si>
    <t>a) własne</t>
  </si>
  <si>
    <t>ZOBOWIĄZANIA DŁUGOTERMINOWE, O POZOSTAŁYM OD DNIA  BILANSOWEGO  OKRESIE SPŁATY</t>
  </si>
  <si>
    <t>a) powyżej 1 roku do 3 lat</t>
  </si>
  <si>
    <t>b) powyżej 3 do 5 lat</t>
  </si>
  <si>
    <t>c) powyżej 5 lat</t>
  </si>
  <si>
    <t>b) sprzedaż towarów i materiałów</t>
  </si>
  <si>
    <t>c) pozostałe usługi i wyroby</t>
  </si>
  <si>
    <t>nota 20c</t>
  </si>
  <si>
    <t>Nota 33.</t>
  </si>
  <si>
    <t>Nota 34A</t>
  </si>
  <si>
    <t>Nota 34B</t>
  </si>
  <si>
    <t>Nota 34C</t>
  </si>
  <si>
    <t>Nota 34D</t>
  </si>
  <si>
    <t xml:space="preserve">    - inne</t>
  </si>
  <si>
    <t xml:space="preserve">   - </t>
  </si>
  <si>
    <t>NALEŻNOŚCI DŁUGOTERMINOWE</t>
  </si>
  <si>
    <t>Należności długoterminowe netto</t>
  </si>
  <si>
    <t>Należności długoterminowe brutto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</si>
  <si>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</si>
  <si>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</si>
  <si>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</si>
  <si>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</si>
  <si>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</si>
  <si>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</si>
  <si>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</si>
  <si>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</si>
  <si>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</si>
  <si>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kurs EUR za 12 m-cy 2004r. / 2003r.</t>
  </si>
  <si>
    <t>A. Z nieograniczoną zbywalnością, notowane na giełdach (wartość bilansowa)</t>
  </si>
  <si>
    <t xml:space="preserve">    a) akcje (wartość bilansowa):</t>
  </si>
  <si>
    <t xml:space="preserve">        - wartość według cen nabycia</t>
  </si>
  <si>
    <t xml:space="preserve">    b) obligacje (wartość bilansowa):</t>
  </si>
  <si>
    <t xml:space="preserve">    c) inne - wg grup rodzajowych (wartość bilansowa):</t>
  </si>
  <si>
    <t xml:space="preserve">       c1 ...</t>
  </si>
  <si>
    <t xml:space="preserve">     a) odniesionych na wynik finansowy</t>
  </si>
  <si>
    <t xml:space="preserve">     b) odniesionych na kapitał własny</t>
  </si>
  <si>
    <t>NALEŻNOŚCI Z TYTUŁU DOSTAW I USŁUG, PRZETERMINOWANE (BRUTTO) -  Z PODZIAŁEM NA NALEŻNOŚCI NIE SPŁACONE W OKRESIE:</t>
  </si>
  <si>
    <t xml:space="preserve">Należności z tytułu dostaw i usług, przeterminowane, razem (brutto) </t>
  </si>
  <si>
    <t>NALEŻNOŚCI Z TYTUŁU DOSTAW I USŁUG (BRUTTO) - O POZOSTAŁYM OD DNIA BILANSOWEGO OKRESIE  SPŁATY:</t>
  </si>
  <si>
    <t>ŚRODKI TRWAŁE BILANSOWE</t>
  </si>
  <si>
    <t>NALEŻNOŚCI DŁUGOTERMINOWE (struktura walutowa)</t>
  </si>
  <si>
    <t>a) w walucie polskiej</t>
  </si>
  <si>
    <t>b) w walutach obcych (wg walut i po przeliczeniu na zł.)</t>
  </si>
  <si>
    <t>b1. jednostka/waluta    .............../................</t>
  </si>
  <si>
    <t>b2. jednostka/waluta    .............../...............</t>
  </si>
  <si>
    <t>b3. jednostka/waluta    .............../................</t>
  </si>
  <si>
    <t>......</t>
  </si>
  <si>
    <t>XVI. Zysk (strata) na jedną akcję zwykłą (w zł/EUR)</t>
  </si>
  <si>
    <t xml:space="preserve">   e) w jednostce dominującej</t>
  </si>
  <si>
    <t xml:space="preserve">   f) w pozostałych jednostkach</t>
  </si>
  <si>
    <t>KRÓTKOTERMINOWE ROZLICZENIA MIĘDZYOKRESOWE</t>
  </si>
  <si>
    <t>Krótkoterminowe rozliczenia międzyokresowe, razem</t>
  </si>
  <si>
    <t xml:space="preserve">    - zmiana składu Grupy</t>
  </si>
  <si>
    <t>Bx Idzikowskiego Sp. z o.o.</t>
  </si>
  <si>
    <t>Stan ujemnej wartości firmy na koniec okresu</t>
  </si>
  <si>
    <t>a) bierne rozliczenia międzyokresowe kosztów</t>
  </si>
  <si>
    <t>b) rozliczenia międzyokresowe przychodów</t>
  </si>
  <si>
    <t>g) fundusze specjalne</t>
  </si>
  <si>
    <t>B. Zobowiązania wobec Skarbu Państwa</t>
  </si>
  <si>
    <t>C. Ryzyko gospodarcze</t>
  </si>
  <si>
    <t>Sprzęt - Transport Sp. z o.o.</t>
  </si>
  <si>
    <t>Zawiszy Sp. z o.o.</t>
  </si>
  <si>
    <t>Budimex Wilczak Sp. z o.o.</t>
  </si>
  <si>
    <t xml:space="preserve">   - przeniesienie do należności krótkoterminowych</t>
  </si>
  <si>
    <t xml:space="preserve">   - spisanie należności</t>
  </si>
  <si>
    <t>ZMIANA STANU ODPISÓW AKTUALIZUJĄCYCH WARTOŚĆ NALEŻNOŚCI DŁUGOTERMINOWYCH</t>
  </si>
  <si>
    <t>c) zmniejszenia (z tytułu)</t>
  </si>
  <si>
    <t>a) koszty zakończonych prac rozwojowych</t>
  </si>
  <si>
    <t>b) wartość firmy</t>
  </si>
  <si>
    <t xml:space="preserve">   - oprogramowanie komputerowe</t>
  </si>
  <si>
    <t>Suma bilansowa</t>
  </si>
  <si>
    <t>Wynik</t>
  </si>
  <si>
    <t>Kapitał własny</t>
  </si>
  <si>
    <t>Przepływy</t>
  </si>
  <si>
    <t>ZMIANA STANU UJEMNEJ WARTOŚCI FIRMY</t>
  </si>
  <si>
    <t>Przedziały czasowe spłacania należności, związane z normalnym tokiem sprzedaży, wynoszą od 1 miesiąca do 3 miesięcy.</t>
  </si>
  <si>
    <t xml:space="preserve"> - wyniku na operacjach nadzwyczajnych</t>
  </si>
  <si>
    <t xml:space="preserve">    c1 bony mieszkaniowe</t>
  </si>
  <si>
    <t xml:space="preserve">    c2 inne</t>
  </si>
  <si>
    <t>a) depozyt w kasie oszczędnościowej</t>
  </si>
  <si>
    <t>b) pozostałe</t>
  </si>
  <si>
    <t>A. Depozyt w kasie oszczędnościowej</t>
  </si>
  <si>
    <t>B. Pozostałe</t>
  </si>
  <si>
    <t xml:space="preserve">   - pozostałe</t>
  </si>
  <si>
    <t>ZMIANA STANU AKTYWÓW Z TYTUŁU ODROCZONEGO PODATKU DOCHODOWEGO</t>
  </si>
  <si>
    <t xml:space="preserve">     - powstania różnic przejściowych</t>
  </si>
  <si>
    <t>b1. jednostka/waluta    tys. USD</t>
  </si>
  <si>
    <t xml:space="preserve">b3. jednostka/waluta    tys. EUR </t>
  </si>
  <si>
    <t>b2. jednostka/waluta    tys. DEM 2001r.</t>
  </si>
  <si>
    <t xml:space="preserve">     - aktualizacja stawki podatkowej</t>
  </si>
  <si>
    <t xml:space="preserve">   - prowizje i gwarancje bankowe</t>
  </si>
  <si>
    <t>b3.jednostka/waluta      tys. DEM 2001 r.</t>
  </si>
  <si>
    <t>b2. jednostka/waluta     tys. EURO</t>
  </si>
  <si>
    <t>b1. jednostka/waluta     tys. USD</t>
  </si>
  <si>
    <t xml:space="preserve"> -odpis aktualizujący wartość finansowego majątku trwałego i papierów wartościowych przeznaczonych do obrotu</t>
  </si>
  <si>
    <t xml:space="preserve"> -korekta różnic kursowych dotyczących rynku niemieckiego</t>
  </si>
  <si>
    <t xml:space="preserve"> -inne pozycje</t>
  </si>
  <si>
    <t>b) używane na podstawie umowy najmu, dzierżawy lub innej umowy, w tym umowy leasingu, w tym:</t>
  </si>
  <si>
    <t>..........</t>
  </si>
  <si>
    <t>RZECZOWE AKTYWA TRWAŁE</t>
  </si>
  <si>
    <t xml:space="preserve">Należności z tytułu dostaw i usług, przeterminowane, razem (netto) </t>
  </si>
  <si>
    <t xml:space="preserve">   - przejściowe różnice między zyskiem brutto a dochodem</t>
  </si>
  <si>
    <t>Budimex Zacisze Sp. z o.o.</t>
  </si>
  <si>
    <t>Auto Park Bydgoszcz Sp. z o.o.</t>
  </si>
  <si>
    <t xml:space="preserve">   - odpisy aktualizujące zapasy</t>
  </si>
  <si>
    <t xml:space="preserve">   - rezerwy na niewykorzystane urlopy, nagrody i premie</t>
  </si>
  <si>
    <t xml:space="preserve">   - rezerwy na koszty niezafakturowane</t>
  </si>
  <si>
    <t>Wysokość przyszłej należności podatkowej na koniec okresu</t>
  </si>
  <si>
    <t>ŚRODKI PIENIĘŻNE</t>
  </si>
  <si>
    <t>a) środki pieniężne w kasie</t>
  </si>
  <si>
    <t>b) środki pieniężne na rachunkach bankowych</t>
  </si>
  <si>
    <t>b/ półprodukty i produkty w toku</t>
  </si>
  <si>
    <t>c/ produkty gotowe</t>
  </si>
  <si>
    <t>d/ towary</t>
  </si>
  <si>
    <t>C. Z nieograniczoną zbywalnością, nie notowane na rynku regulowanym (wartość bilansowa)</t>
  </si>
  <si>
    <t>Korekty aktualizujące wartość (za okres), razem</t>
  </si>
  <si>
    <t>Nota 2D</t>
  </si>
  <si>
    <t xml:space="preserve">          - z tytułu dodatnich różnic przejściowych</t>
  </si>
  <si>
    <t>b1. jednostka/waluta    tys. / DEM</t>
  </si>
  <si>
    <t xml:space="preserve">        - wartość godziwa instrumentów finansowych </t>
  </si>
  <si>
    <t>- depozyty overnight (jednodniowe)</t>
  </si>
  <si>
    <t>c) inne środki pieniężne</t>
  </si>
  <si>
    <t>Środki pieniężne, razem</t>
  </si>
  <si>
    <t xml:space="preserve">NALEŻNOŚCI </t>
  </si>
  <si>
    <t xml:space="preserve"> - zmiana stanu należności w bilansie</t>
  </si>
  <si>
    <t xml:space="preserve"> - zmiana składu Grupy</t>
  </si>
  <si>
    <t xml:space="preserve"> - od pozostałych jednostek</t>
  </si>
  <si>
    <t xml:space="preserve">         - od znaczącego inwestora</t>
  </si>
  <si>
    <t xml:space="preserve">        - od jednostek powiązanych</t>
  </si>
  <si>
    <t xml:space="preserve">   b) przychody ze sprzedaży pozostałych usług, w tym:</t>
  </si>
  <si>
    <t xml:space="preserve">   c) przychody ze sprzedaży wyrobów, w tym:</t>
  </si>
  <si>
    <t xml:space="preserve">       - od jednostek powiązanych</t>
  </si>
  <si>
    <t xml:space="preserve">   a) przychody ze sprzedaży materiałów, w tym:</t>
  </si>
  <si>
    <t xml:space="preserve">   b) przychody ze sprzedaży towarów, w tym: </t>
  </si>
  <si>
    <t>PRZYCHODY NETTO ZE SPRZEDAŻY TOWARÓW, MATERIAŁÓW I PRODUKTÓW WEDŁUG SEGMENTÓW</t>
  </si>
  <si>
    <t>a) usługi budowlane</t>
  </si>
  <si>
    <t>b) usługi developerskie</t>
  </si>
  <si>
    <t>c) usługi projektowe</t>
  </si>
  <si>
    <t xml:space="preserve">Należności sporne z tytułu dywidend i innych udziałów w zyskach, </t>
  </si>
  <si>
    <t xml:space="preserve">Pozostałe należności sporne, </t>
  </si>
  <si>
    <t>Należności dochodzone na drodze sądowej</t>
  </si>
  <si>
    <t>Należności sporne, razem (brutto)</t>
  </si>
  <si>
    <t>Należności sporne, razem (netto - pomniejszone o odpisy aktualizujące)</t>
  </si>
  <si>
    <t xml:space="preserve">   - odszkodowania, kary, odsetki budżetowe </t>
  </si>
  <si>
    <t xml:space="preserve">   - składki na PFRON</t>
  </si>
  <si>
    <t xml:space="preserve">   - zakup</t>
  </si>
  <si>
    <t>b2. jednostka/waluta    tys. / EUR</t>
  </si>
  <si>
    <t xml:space="preserve">b3. pozostałe waluty w tys. zł </t>
  </si>
  <si>
    <t>Papiery wartościowe, udziały i inne długoterminowe aktywa finansowe, razem</t>
  </si>
  <si>
    <t xml:space="preserve">        - korekty aktualizujące wartość (za okres)</t>
  </si>
  <si>
    <t xml:space="preserve">        - wartość na początek okresu</t>
  </si>
  <si>
    <t xml:space="preserve">    c1 ...................</t>
  </si>
  <si>
    <t xml:space="preserve">B. Z nieograniczoną zbywalnością, notowane na rynkach pozagiełdowych (wartość bilansowa)          </t>
  </si>
  <si>
    <t xml:space="preserve">   a) akcje (wartość bilansowa):</t>
  </si>
  <si>
    <t xml:space="preserve">   b) obligacje (wartość bilansowa):</t>
  </si>
  <si>
    <t xml:space="preserve">   - z tytułu podatków, dotacji i ubezpieczeń społecznych</t>
  </si>
  <si>
    <t xml:space="preserve">   - z tytułu dywidend i innych udziałów w zyskach</t>
  </si>
  <si>
    <t>Należności przeterminowane, razem (brutto)</t>
  </si>
  <si>
    <t>f) należności przeterminowane</t>
  </si>
  <si>
    <t>ZMIANA STANU DŁUGOTERMINOWYCH AKTYWÓW FINANSOWYCH (WG GRUP RODZAJOWYCH)</t>
  </si>
  <si>
    <t xml:space="preserve">       - </t>
  </si>
  <si>
    <t>e) odniesione na wartość firmy lub ujemną wartość firmy w związku z ujemnymi różnicami przejściowymi (z tytułu):</t>
  </si>
  <si>
    <t xml:space="preserve">Zmniejszenia i zwiększenia stanu aktywów z tytułu odroczonego podatku dochodowego należy przedstawić co </t>
  </si>
  <si>
    <t>najmniej wg ponizszych tytułów, ze wskazaniem podstawowych grup aktywów i zobowiązań, których dotyczą:</t>
  </si>
  <si>
    <t>Zwiększenia:</t>
  </si>
  <si>
    <t>Zmniejszenia:</t>
  </si>
  <si>
    <t xml:space="preserve">     - odwrócenia różnic przejściowych</t>
  </si>
  <si>
    <t xml:space="preserve">     - </t>
  </si>
  <si>
    <t xml:space="preserve">     -  odpisania aktywów z tytułu odroczonego podatku dochodowego</t>
  </si>
  <si>
    <t>Nota 37.</t>
  </si>
  <si>
    <t>Nota 38.</t>
  </si>
  <si>
    <t>Nota 30C</t>
  </si>
  <si>
    <t>1. Zysk (strata) brutto skonsolidowany</t>
  </si>
  <si>
    <t xml:space="preserve">   - inne składniki podatku odroczonego (wg tytułów):</t>
  </si>
  <si>
    <t xml:space="preserve"> - zmiana stanu z tyt. należności inwestycyjnych</t>
  </si>
  <si>
    <t>b) od pozostałych jednostek</t>
  </si>
  <si>
    <t>PRZYCHODY FINANSOWE Z TYTUŁU ODSETEK</t>
  </si>
  <si>
    <t>a) z tytułu udzielonych pożyczek</t>
  </si>
  <si>
    <t xml:space="preserve"> - od jednostek powiązanych, w tym:</t>
  </si>
  <si>
    <t>e) w jednostce dominującej</t>
  </si>
  <si>
    <t>PRZYCHODY NETTO ZE SPRZEDAŻY TOWARÓW I MATERIAŁÓW (STRUKTURA RZECZOWA - RODZAJE DZIAŁALNOŚCI)</t>
  </si>
  <si>
    <t xml:space="preserve">Przychody netto ze sprzedaży towarów i materiałów, razem </t>
  </si>
  <si>
    <t>Unibud Sp. z o.o.</t>
  </si>
  <si>
    <t xml:space="preserve">c) nabyte koncesje, patenty, licencje i podobne wartości, w tym: </t>
  </si>
  <si>
    <t>e) zaliczki na wartości niematerialne i prawne</t>
  </si>
  <si>
    <t>STRATY NADZWYCZAJNE</t>
  </si>
  <si>
    <t>b2. jednostka/waluta   tys.   / EUR</t>
  </si>
  <si>
    <t>b3. jednostka/waluta    tys. / EUR</t>
  </si>
  <si>
    <t xml:space="preserve"> c) zmniejszenia (z tytułu):</t>
  </si>
  <si>
    <t>Udział w wyniku netto jednostek podporządkowanych wycenianych metodą praw własności, w tym:</t>
  </si>
  <si>
    <t xml:space="preserve">   - urządzenia techniczne i maszyny</t>
  </si>
  <si>
    <t xml:space="preserve">   - środki transportu</t>
  </si>
  <si>
    <t xml:space="preserve">   - inne środki trwałe</t>
  </si>
  <si>
    <t>b) środki trwałe w budowie</t>
  </si>
  <si>
    <t>c) zaliczki na środki trwałe w budowie</t>
  </si>
  <si>
    <t>Nota 11.</t>
  </si>
  <si>
    <t xml:space="preserve">          z tytułu wynagrodzeń</t>
  </si>
  <si>
    <t xml:space="preserve">     inne</t>
  </si>
  <si>
    <t>Nota 7A</t>
  </si>
  <si>
    <t>Nota 7B</t>
  </si>
  <si>
    <t>Nota 7C</t>
  </si>
  <si>
    <t>Nota 7D</t>
  </si>
  <si>
    <t>Nota 7E</t>
  </si>
  <si>
    <t>Nota 7F</t>
  </si>
  <si>
    <t>Nota 9C</t>
  </si>
  <si>
    <t>Nota 9D</t>
  </si>
  <si>
    <t>Nota 9E</t>
  </si>
  <si>
    <t>Nota 9F</t>
  </si>
  <si>
    <t xml:space="preserve">     - spowodowane zmianą stanu Grupy</t>
  </si>
  <si>
    <t xml:space="preserve">     - wykorzystania straty podatkowej za ..... rok</t>
  </si>
  <si>
    <t xml:space="preserve">          - z tytułu ujemnych różnic przejściowych</t>
  </si>
  <si>
    <t xml:space="preserve">     - odwrócenia się różnic przejściowych</t>
  </si>
  <si>
    <t>d) odniesione na kapitał własny w związku ze stratą podatkową (z tytułu):</t>
  </si>
  <si>
    <t xml:space="preserve">   - odpis na ZFŚS</t>
  </si>
  <si>
    <t xml:space="preserve">   - odpisy naliczane w koszty</t>
  </si>
  <si>
    <t xml:space="preserve">   - opieka medyczna</t>
  </si>
  <si>
    <t xml:space="preserve">   - koszty kontraktów do rozliczenia w czasie</t>
  </si>
  <si>
    <t xml:space="preserve">   - usługi wykonane niezafakturowane (wycena kontraktów)</t>
  </si>
  <si>
    <t xml:space="preserve">   - odsetki od zobowiązań z tytułu leasingu finansowego </t>
  </si>
  <si>
    <t>ZOBOWIĄZANIA DŁUGOTERMINOWE (STRUKTURA WALUTOWA)</t>
  </si>
  <si>
    <t>Należności krótkoterminowe, razem</t>
  </si>
  <si>
    <t>1. Stan aktywów na początek okresu, w tym:</t>
  </si>
  <si>
    <t>Nota 8A</t>
  </si>
  <si>
    <t>a) od jednostek powiązanych</t>
  </si>
  <si>
    <t xml:space="preserve">4 Podatek dochodowy według obowiązującej stawki </t>
  </si>
  <si>
    <t>6. Podatek dochodowy bieżący ujęty (wykazany) w deklaracji podatkowej okresu, w tym:</t>
  </si>
  <si>
    <t>5. Podatek dochodowy zapłacony od zysków osiągniętych za granicą</t>
  </si>
  <si>
    <t>- inne depozyty do 3 miesięcy</t>
  </si>
  <si>
    <t>- depozyty powyżej 1 roku (blokada środków pod gwarancje bankowe)</t>
  </si>
  <si>
    <t>Budimex Dromex S.A.</t>
  </si>
  <si>
    <t>b) zwiększenia (z tytułu)</t>
  </si>
  <si>
    <t xml:space="preserve">    - umowy leasingu finansowego</t>
  </si>
  <si>
    <t>b) wobec jednostek współzależnych</t>
  </si>
  <si>
    <t xml:space="preserve">   - z tytułu dostaw i usług</t>
  </si>
  <si>
    <t>c) wobec jednostek stowarzyszonych</t>
  </si>
  <si>
    <t>d) wobec znaczącego inwestora</t>
  </si>
  <si>
    <t xml:space="preserve">   - wypłacone odszkodowania i kary umowne </t>
  </si>
  <si>
    <t xml:space="preserve">   - koszty działalności socjalnej </t>
  </si>
  <si>
    <t>2. Różnice przejściowe:</t>
  </si>
  <si>
    <t xml:space="preserve">   - rezerwy na należności </t>
  </si>
  <si>
    <t xml:space="preserve">   - naliczone odsetki </t>
  </si>
  <si>
    <t xml:space="preserve">     - wartość godziwa</t>
  </si>
  <si>
    <t xml:space="preserve">   ubezpieczenia majątkowe</t>
  </si>
  <si>
    <t>Noty objaśniające do rachunku zysków i strat</t>
  </si>
  <si>
    <t>Nota 22.</t>
  </si>
  <si>
    <t>a) w jednostkach zależnych</t>
  </si>
  <si>
    <t>b) współzależnych</t>
  </si>
  <si>
    <t>c) stowarzyszonych</t>
  </si>
  <si>
    <t>Nota 9G</t>
  </si>
  <si>
    <t>Nota 10.</t>
  </si>
  <si>
    <t>Nota 14.</t>
  </si>
  <si>
    <t>Nota 18A</t>
  </si>
  <si>
    <t>Nota 18B</t>
  </si>
  <si>
    <t>Nota 18D</t>
  </si>
  <si>
    <t>Nota 18E</t>
  </si>
  <si>
    <t>Nota 19A</t>
  </si>
  <si>
    <t>Nota 19B</t>
  </si>
  <si>
    <t>Nota 19C</t>
  </si>
  <si>
    <t>Nota 25A</t>
  </si>
  <si>
    <t>Nota 25B</t>
  </si>
  <si>
    <t>Nota 25C</t>
  </si>
  <si>
    <t>b) w walutach obcych  (wg walut i po przeliczeniu na zł)</t>
  </si>
  <si>
    <t xml:space="preserve">      zł </t>
  </si>
  <si>
    <t xml:space="preserve"> - na odsetki</t>
  </si>
  <si>
    <t>IV. Jednostki zależne konsolidowane metodą praw własności:</t>
  </si>
  <si>
    <t>Zobowiązania krótkoterminowe, razem</t>
  </si>
  <si>
    <t>2. Różnice pomiędzy zyskiem (stratą) brutto a podstawą opodatkowania podatkiem dochodowym (wg tytułów):</t>
  </si>
  <si>
    <t xml:space="preserve">3. Podstawa opodatkowania podatkiem dochodowym </t>
  </si>
  <si>
    <t xml:space="preserve">   - prowizje finansowe</t>
  </si>
  <si>
    <t xml:space="preserve">   - na odsetki od kontrahentów</t>
  </si>
  <si>
    <t xml:space="preserve">       c1. bony handlowe</t>
  </si>
  <si>
    <t xml:space="preserve">     - spółdzielcze własnościowe prawo do lokalu</t>
  </si>
  <si>
    <t xml:space="preserve">   - koszty organizacji spółki</t>
  </si>
  <si>
    <t xml:space="preserve">   - koszty przygotowania nowej produkcji</t>
  </si>
  <si>
    <t xml:space="preserve">   - koszty pozwoleń na pracę</t>
  </si>
  <si>
    <t xml:space="preserve">   - prenumerata</t>
  </si>
  <si>
    <t xml:space="preserve">   - opłaty i podatki</t>
  </si>
  <si>
    <t xml:space="preserve">   - ubrania robocze</t>
  </si>
  <si>
    <t xml:space="preserve">   - dzierżawa programu komputerowego</t>
  </si>
  <si>
    <t>Rezerwa na podatek dochodowy z tytułu:</t>
  </si>
  <si>
    <t xml:space="preserve">   - przychodów podlegających opodatkowaniu za zagranicą</t>
  </si>
  <si>
    <t xml:space="preserve">   - odsetki nieotrzymane </t>
  </si>
  <si>
    <t xml:space="preserve">          z tytułu podatków i ceł</t>
  </si>
  <si>
    <t xml:space="preserve">          z tytułu ubezpieczeń i innych świadczeń</t>
  </si>
  <si>
    <t>ZMIANA STANU NALEŻNOŚCI DŁUGOTERMINOWYCH (wg tytułów)</t>
  </si>
  <si>
    <t>d) stan na koniec okresu</t>
  </si>
  <si>
    <t>PAPIERY WARTOŚCIOWE, UDZIAŁY I INNE KRÓTKOTERMIN. AKTYWA FINANSOWE (WG ZBYWALNOŚCI)</t>
  </si>
  <si>
    <t>A. Z nieograniczoną zbywalnością, notowane na giełdach (wartość bilans.)</t>
  </si>
  <si>
    <t xml:space="preserve">   - przeklasyfikowanie z inwestycji krótkoterminowych</t>
  </si>
  <si>
    <t xml:space="preserve">   - udział w wyniku</t>
  </si>
  <si>
    <t xml:space="preserve">   - zmniejszenie wartości udziałów</t>
  </si>
  <si>
    <t xml:space="preserve">       - obligacje</t>
  </si>
  <si>
    <t xml:space="preserve">b) pozostałe rozliczenia międzyokresowe kosztów, w tym: </t>
  </si>
  <si>
    <t>b) pozostałe odsetki</t>
  </si>
  <si>
    <t>Przychody finansowe z tytułu odsetek, razem</t>
  </si>
  <si>
    <t>INNE PRZYCHODY FINANSOWE</t>
  </si>
  <si>
    <t>a) dodatnie różnice kursowe</t>
  </si>
  <si>
    <t>Zapasy, razem</t>
  </si>
  <si>
    <t>a/ materiały</t>
  </si>
  <si>
    <t>e/ zaliczki na dostawy</t>
  </si>
  <si>
    <t>NALEŻNOŚCI KRÓTKOTERMINOWE</t>
  </si>
  <si>
    <t>b1. jednostka/waluta    tys. / USD</t>
  </si>
  <si>
    <t>b) odniesione na kapitał własny w związku z dodatnimi różnicami przejściowymi (z tytułu):</t>
  </si>
  <si>
    <t>c) odniesione na wartość firmy lub ujemną wartość firmy w związku z dodatnimi różnicami przejściowymi (z tytułu):</t>
  </si>
  <si>
    <t>a) odniesione na wynik finansowy okresu w związku z dodatnimi różnicami przejściowymi (z tytułu):</t>
  </si>
  <si>
    <t>Należności z tytułu dostaw i usług, razem (brutto)</t>
  </si>
  <si>
    <t>Należności z tytułu dostaw i usług, razem (netto)</t>
  </si>
  <si>
    <t xml:space="preserve">     - inne krótkoterminowe aktywa finansowe wg rodzaju)</t>
  </si>
  <si>
    <t xml:space="preserve">   b) w jednostkach współzależnych</t>
  </si>
  <si>
    <t>Krótkoterminowe aktywa finansowe, razem</t>
  </si>
  <si>
    <t xml:space="preserve">   g) środki pieniężne i inne aktywa pieniężne</t>
  </si>
  <si>
    <t xml:space="preserve">   c) w jednostkach stowarzyszonych</t>
  </si>
  <si>
    <t>b) rozwiązanie rezerwy (z tytułu)</t>
  </si>
  <si>
    <t xml:space="preserve">   - korekty rezerwy na nagrody jubileuszowe i odprawy emerytalne </t>
  </si>
  <si>
    <t xml:space="preserve">   - odpisy aktualizujące finansowy majątek trwały i papiery wartościowe </t>
  </si>
  <si>
    <t xml:space="preserve">   d) w znaczącym inwestorze</t>
  </si>
  <si>
    <t xml:space="preserve">    - od jednostek zależnych (z tytułu)</t>
  </si>
  <si>
    <t xml:space="preserve">    - od znaczącego inwestora (z tytułu)</t>
  </si>
  <si>
    <t xml:space="preserve">          ...</t>
  </si>
  <si>
    <t xml:space="preserve">   - trwałe różnice pomiędzy zyskiem brutto a dochodem do opodatkowania+A277</t>
  </si>
  <si>
    <t xml:space="preserve">  - ujętego w kapitale własnym</t>
  </si>
  <si>
    <t xml:space="preserve">    - krótkoterminowe (wg tytułów)</t>
  </si>
  <si>
    <t>d) inne wartości niematerialne i prawne</t>
  </si>
  <si>
    <t xml:space="preserve">   - gwarancje bankowe </t>
  </si>
  <si>
    <t xml:space="preserve">   - odszkodowanie otrzymane</t>
  </si>
  <si>
    <t xml:space="preserve">   - naprawa powypadkowa</t>
  </si>
  <si>
    <t>Inne przychody finansowe, razem</t>
  </si>
  <si>
    <t>KOSZTY FINANSOWE Z TYTUŁU ODSETEK</t>
  </si>
  <si>
    <t>a) od kredytów i pożyczek</t>
  </si>
  <si>
    <t>PW Hepamos Sp. z o.o. (tylko obroty za I-X.2004r.)</t>
  </si>
  <si>
    <t>Autostrada Południe S.A.</t>
  </si>
  <si>
    <t xml:space="preserve">          rozrachunki z pracownikami</t>
  </si>
  <si>
    <t xml:space="preserve">          inne rozrachunki</t>
  </si>
  <si>
    <t>UDZIELONE POŻYCZKI KRÓTKOTERMINOWE (STRUKTURA WALUTOWA)</t>
  </si>
  <si>
    <t>Udzielone pożyczki krótkoterminowe, razem</t>
  </si>
  <si>
    <t xml:space="preserve">     - zmiany składu Grupy</t>
  </si>
  <si>
    <t xml:space="preserve">     - postępowania układowego</t>
  </si>
  <si>
    <t xml:space="preserve">     - uzyskania nakazu płatniczego</t>
  </si>
  <si>
    <t xml:space="preserve">     - spłaty należności przez dłużników</t>
  </si>
  <si>
    <t xml:space="preserve">     - spisania należności objętych odpisami</t>
  </si>
  <si>
    <t>b2. jednostka/waluta    EUR............/................</t>
  </si>
  <si>
    <t>b1. jednostka/waluta    USD............/...............</t>
  </si>
  <si>
    <t>Nota 24A</t>
  </si>
  <si>
    <t>Nota 24B</t>
  </si>
  <si>
    <t>OBLICZENIE WARTOŚCI KSIĘGOWEJ NA JEDNĄ AKCJĘ</t>
  </si>
  <si>
    <t xml:space="preserve">   - koszty wdrożenia systemu informatycznego</t>
  </si>
  <si>
    <t xml:space="preserve">   - pozostałe </t>
  </si>
  <si>
    <t xml:space="preserve">   - ........</t>
  </si>
  <si>
    <t>JEDNOSTKI POWIĄZANE W GRUPIE KAPITAŁOWEJ BUDIMEX S.A. wg stanu na 31.12.2004r. :</t>
  </si>
  <si>
    <t>I. Jednostka dominująca wyższego szczebla:</t>
  </si>
  <si>
    <t>Ferrovial Agroman</t>
  </si>
  <si>
    <t>II. Jednostka dominująca nizszego szczebla:</t>
  </si>
  <si>
    <t xml:space="preserve">Środki trwałe pozabilansowe, razem </t>
  </si>
  <si>
    <t xml:space="preserve">   - grunty (w tym prawo użytkowania wieczystego gruntu)</t>
  </si>
  <si>
    <t>b3. jednostka/waluta    / USD</t>
  </si>
  <si>
    <t xml:space="preserve">   - na urlopy, odprawy </t>
  </si>
  <si>
    <t xml:space="preserve">   - na przewidywane straty </t>
  </si>
  <si>
    <t>b.2. inne zobowiązania warunkowe, w tym:</t>
  </si>
  <si>
    <t>b.1. otrzymanych weksli jako zabezpieczenie, w tym:</t>
  </si>
  <si>
    <t xml:space="preserve">   - dłużne papiery wartościowe</t>
  </si>
  <si>
    <t xml:space="preserve">   - inne papiery wartościowe (wg rodzaju)</t>
  </si>
  <si>
    <t xml:space="preserve">    ...</t>
  </si>
  <si>
    <t xml:space="preserve">   - udzielone pożyczki</t>
  </si>
  <si>
    <t xml:space="preserve">   - inne długoterminowe aktywa finansowe (wg rodzaju)</t>
  </si>
  <si>
    <t>ŁĄCZNA KWOTA PODATKU ODROCZONEGO</t>
  </si>
  <si>
    <t>PODATEK DOCHODOWY WYKAZANY W RACHUNKU ZYSKÓW I STRAT DOTYCZĄCY:</t>
  </si>
  <si>
    <t xml:space="preserve"> - działalności zaniechanej</t>
  </si>
  <si>
    <t>Dochody wolne od podatku(podatek dochodowy na rynkach zagranicznych + darowizny)</t>
  </si>
  <si>
    <t xml:space="preserve">   - pozostałe ( różnice kursowe nie zrealizowane)</t>
  </si>
  <si>
    <t>c) wykorzystanie (z tytułu)</t>
  </si>
  <si>
    <t xml:space="preserve">   - składki nieobowiązkowe</t>
  </si>
  <si>
    <t>PAPIERY WARTOŚCIOWE, UDZIAŁY I INNE DŁUGOTERMINOWE AKTYWA FINANSOWE (STRUKTURA WALUTOWA)</t>
  </si>
  <si>
    <t>Nota 1A</t>
  </si>
  <si>
    <t>Nota 1C</t>
  </si>
  <si>
    <t>Nota 3A</t>
  </si>
  <si>
    <t>Nota 3C</t>
  </si>
  <si>
    <t>Nota 3D</t>
  </si>
  <si>
    <t>KRÓTKOTERMINOWE AKTYWA FINANSOWE</t>
  </si>
  <si>
    <t xml:space="preserve">   - zmiana składu Grupy </t>
  </si>
  <si>
    <t xml:space="preserve">    - bieżących transakcji</t>
  </si>
  <si>
    <t xml:space="preserve">    - odroczenie spłaty należności krótkoterminowych</t>
  </si>
  <si>
    <t xml:space="preserve">   - otrzymane zapłaty</t>
  </si>
  <si>
    <t>ZMIANA STANU INNYCH INWESTYCJI DŁUGOTERMINOWYCH (WG GRUP RODZAJOWYCH)</t>
  </si>
  <si>
    <t xml:space="preserve">    - nabycie</t>
  </si>
  <si>
    <t xml:space="preserve">    - inne zwiększenia</t>
  </si>
  <si>
    <t xml:space="preserve">    - sprzedaż</t>
  </si>
  <si>
    <t>Nota 29B</t>
  </si>
  <si>
    <t>Nota 29C</t>
  </si>
  <si>
    <t>Nota 30A</t>
  </si>
  <si>
    <t>Nota 30B</t>
  </si>
  <si>
    <t xml:space="preserve">   - inne (zmiana regulaminu)</t>
  </si>
  <si>
    <t xml:space="preserve"> - inne ( m.in leasing, )</t>
  </si>
  <si>
    <t>Stan na początek okresu (wg grup rodzajowych):</t>
  </si>
  <si>
    <t>A. Grunty</t>
  </si>
  <si>
    <t>B. Budynki, lokale i obiekty inżynierii lądowej i wodnej</t>
  </si>
  <si>
    <t>C. Inne nieruchomości</t>
  </si>
  <si>
    <t>Stan na koniec okresu (wg grup rodzajowych):</t>
  </si>
  <si>
    <t xml:space="preserve">    a) changes of accounting policies applied </t>
  </si>
  <si>
    <t>-</t>
  </si>
  <si>
    <t xml:space="preserve">    b) adjustments of fundamental errors </t>
  </si>
  <si>
    <t xml:space="preserve"> 1.1. Changes in share capital </t>
  </si>
  <si>
    <t xml:space="preserve"> a) increases, of which: </t>
  </si>
  <si>
    <t xml:space="preserve"> b) decreases, of which: </t>
  </si>
  <si>
    <t xml:space="preserve"> - </t>
  </si>
  <si>
    <t xml:space="preserve"> 2.1. Changes in called-up share capital not paid </t>
  </si>
  <si>
    <t xml:space="preserve">  - </t>
  </si>
  <si>
    <t xml:space="preserve"> 3.1. Changes in own shares (equities) </t>
  </si>
  <si>
    <t xml:space="preserve"> a) increase </t>
  </si>
  <si>
    <t xml:space="preserve"> b) decrease </t>
  </si>
  <si>
    <t xml:space="preserve"> 4.1. Changes in reserve capital </t>
  </si>
  <si>
    <t xml:space="preserve">  - from profit distribution (in excess of the statutorily required minimum value)</t>
  </si>
  <si>
    <t xml:space="preserve">  - fair value of employee share option granted by the parent</t>
  </si>
  <si>
    <t xml:space="preserve"> 5.1. Changes in revaluation reserve </t>
  </si>
  <si>
    <t xml:space="preserve">    - foreign exchange differences on translation of foreign operations </t>
  </si>
  <si>
    <t xml:space="preserve"> 01.01. - 31.12.2012 </t>
  </si>
  <si>
    <t xml:space="preserve"> 01.01. - 31.12.2011 </t>
  </si>
  <si>
    <t xml:space="preserve"> I. Shareholders’ equity - opening balance </t>
  </si>
  <si>
    <t xml:space="preserve"> I.a. Shareholders’ equity after restatement to comparative data - opening balance </t>
  </si>
  <si>
    <t xml:space="preserve"> 1. Share capital - opening balance </t>
  </si>
  <si>
    <t xml:space="preserve"> 1.2. Share capital - closing balance </t>
  </si>
  <si>
    <t xml:space="preserve"> 2. Called-up share capital not paid (negative value) - opening balance </t>
  </si>
  <si>
    <t>- </t>
  </si>
  <si>
    <t xml:space="preserve"> 2.2. Called-up share capital not paid (negative value) - closing balance </t>
  </si>
  <si>
    <t xml:space="preserve"> 3. Own shares (equities) - opening balance (negative value) </t>
  </si>
  <si>
    <t xml:space="preserve"> 3.2. Own shares (equities) - closing balance (negative value) </t>
  </si>
  <si>
    <t xml:space="preserve"> 4. Reserve capital - opening balance </t>
  </si>
  <si>
    <t xml:space="preserve"> 4.2. Reserve capital - closing balance </t>
  </si>
  <si>
    <t xml:space="preserve"> 5 Revaluation reserve - opening balance </t>
  </si>
  <si>
    <t>STATEMENT OF CHANGES IN EQUITY (PLN THOUSAND)</t>
  </si>
  <si>
    <t xml:space="preserve">    - recognition in the current profit or loss of foreign exchange differences on liquidation of foreign operations</t>
  </si>
  <si>
    <t>b) decreases</t>
  </si>
  <si>
    <t xml:space="preserve"> 6.1. Changes in other reserves </t>
  </si>
  <si>
    <t xml:space="preserve"> b) decreases, of which:</t>
  </si>
  <si>
    <t xml:space="preserve"> 5.2. Reserve capital - closing balance </t>
  </si>
  <si>
    <t xml:space="preserve"> 6. Other reserves - opening balance </t>
  </si>
  <si>
    <t xml:space="preserve"> 6.2. Other reserves - closing balance </t>
  </si>
  <si>
    <t xml:space="preserve"> 7. Retained profit (loss) from prior years - opening balance </t>
  </si>
  <si>
    <t xml:space="preserve"> 7.1. Retained profit - opening balance </t>
  </si>
  <si>
    <t xml:space="preserve"> 7.2. Retained profit after restatement to comparative data - opening balance </t>
  </si>
  <si>
    <t xml:space="preserve">   - payment of dividend</t>
  </si>
  <si>
    <t xml:space="preserve">   - distribution of profit to reserve capital reserve                                                                                                  </t>
  </si>
  <si>
    <t xml:space="preserve">       b) adjustments of fundamental errors </t>
  </si>
  <si>
    <t>(147 636)</t>
  </si>
  <si>
    <t xml:space="preserve"> b) decreases, of which:     </t>
  </si>
  <si>
    <t xml:space="preserve"> a) net profit </t>
  </si>
  <si>
    <t xml:space="preserve"> b) net loss </t>
  </si>
  <si>
    <t xml:space="preserve"> c) write-offs from profit </t>
  </si>
  <si>
    <t xml:space="preserve"> 7.3. Retained profit - closing balance </t>
  </si>
  <si>
    <t xml:space="preserve"> 7.4. Retained loss - opening balance    </t>
  </si>
  <si>
    <t xml:space="preserve">       a) changes of accounting policies applied</t>
  </si>
  <si>
    <t xml:space="preserve"> 7.5. Retained loss after restatement to comparative data - opening balance </t>
  </si>
  <si>
    <t xml:space="preserve"> a) increases, of which:     </t>
  </si>
  <si>
    <t xml:space="preserve"> 7.6. Retained loss - closing balance </t>
  </si>
  <si>
    <t xml:space="preserve"> 7.7. Retained profit (loss) from prior years - closing balance </t>
  </si>
  <si>
    <t xml:space="preserve"> 8. Net result </t>
  </si>
  <si>
    <t xml:space="preserve"> II. Shareholders’ equity - closing balance </t>
  </si>
  <si>
    <t xml:space="preserve"> III. Shareholders’ equity after accounting for the proposed distribution of profit (loss coverage)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</si>
</sst>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;[Red]\-#,##0.00"/>
    <numFmt numFmtId="167" formatCode="#,##0\ [$DM-407]"/>
    <numFmt numFmtId="168" formatCode="[$£-809]#,##0"/>
    <numFmt numFmtId="169" formatCode="[$£-809]#,##0.00"/>
    <numFmt numFmtId="170" formatCode="#,##0\ [$GBP]"/>
    <numFmt numFmtId="171" formatCode="#,##0;\(#,##0\);\-"/>
    <numFmt numFmtId="172" formatCode="#,##0_ ;\-#,##0\ "/>
    <numFmt numFmtId="173" formatCode="_-* #,##0\ _z_ł_-;\-* #,##0\ _z_ł_-;_-* &quot;-&quot;?\ _z_ł_-;_-@_-"/>
    <numFmt numFmtId="174" formatCode="_(* #,##0_);_(* \(#,##0\);_(* &quot;-&quot;??_);_(@_)"/>
    <numFmt numFmtId="175" formatCode="#,##0;[Red]\(#,##0\)"/>
    <numFmt numFmtId="176" formatCode="#,##0_ ;[Red]\-#,##0\ "/>
    <numFmt numFmtId="177" formatCode="#,##0;\(###0\);\-"/>
    <numFmt numFmtId="178" formatCode="#,##0.00;\(#,##0.00\);\-"/>
    <numFmt numFmtId="179" formatCode="#,##0.0000;[Red]\(#,##0.0000\)"/>
    <numFmt numFmtId="180" formatCode="#,##0\ [$€-1]"/>
    <numFmt numFmtId="181" formatCode="#,##0.000;[Red]\(#,##0.000\)"/>
    <numFmt numFmtId="182" formatCode="_(* #,##0_);_(* \(#,##0\);_(* &quot;-&quot;_);_(@_)"/>
    <numFmt numFmtId="183" formatCode="_(* #,##0_);_(* \(#,##0\);_(* &quot;-&quot;?_);_(@_)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_-* #,##0.000000\ _z_ł_-;\-* #,##0.000000\ _z_ł_-;_-* &quot;-&quot;??\ _z_ł_-;_-@_-"/>
  </numFmts>
  <fonts count="87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"/>
      <family val="1"/>
    </font>
    <font>
      <b/>
      <sz val="13"/>
      <name val="Times New Roman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9"/>
      <color indexed="8"/>
      <name val="Times New Roman CE"/>
      <family val="0"/>
    </font>
    <font>
      <sz val="9"/>
      <name val="Arial CE"/>
      <family val="0"/>
    </font>
    <font>
      <sz val="8"/>
      <name val="Times New Roman CE"/>
      <family val="0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0"/>
    </font>
    <font>
      <b/>
      <sz val="9"/>
      <name val="Times New Roman"/>
      <family val="1"/>
    </font>
    <font>
      <b/>
      <sz val="13"/>
      <color indexed="8"/>
      <name val="Times New Roman CE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Verdana"/>
      <family val="2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color indexed="8"/>
      <name val="Times New Roman CE"/>
      <family val="1"/>
    </font>
    <font>
      <sz val="8"/>
      <color indexed="10"/>
      <name val="Times New Roman"/>
      <family val="1"/>
    </font>
    <font>
      <sz val="8"/>
      <name val="Arial CE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color indexed="8"/>
      <name val="Times New Roman CE"/>
      <family val="0"/>
    </font>
    <font>
      <sz val="6"/>
      <color indexed="8"/>
      <name val="Times New Roman CE"/>
      <family val="0"/>
    </font>
    <font>
      <sz val="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175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0" fillId="0" borderId="0">
      <alignment/>
      <protection/>
    </xf>
    <xf numFmtId="0" fontId="81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43" fontId="15" fillId="32" borderId="0" xfId="55" applyNumberFormat="1" applyFont="1" applyFill="1" applyBorder="1" applyAlignment="1">
      <alignment horizontal="left" wrapText="1"/>
      <protection/>
    </xf>
    <xf numFmtId="43" fontId="1" fillId="0" borderId="10" xfId="55" applyNumberFormat="1" applyFont="1" applyFill="1" applyBorder="1" applyAlignment="1" applyProtection="1">
      <alignment horizontal="center"/>
      <protection locked="0"/>
    </xf>
    <xf numFmtId="43" fontId="1" fillId="0" borderId="11" xfId="55" applyNumberFormat="1" applyFont="1" applyFill="1" applyBorder="1" applyAlignment="1" applyProtection="1">
      <alignment horizontal="center"/>
      <protection locked="0"/>
    </xf>
    <xf numFmtId="43" fontId="0" fillId="0" borderId="12" xfId="55" applyNumberFormat="1" applyFill="1" applyBorder="1" applyProtection="1">
      <alignment/>
      <protection locked="0"/>
    </xf>
    <xf numFmtId="43" fontId="0" fillId="0" borderId="13" xfId="55" applyNumberFormat="1" applyFill="1" applyBorder="1" applyProtection="1">
      <alignment/>
      <protection locked="0"/>
    </xf>
    <xf numFmtId="43" fontId="0" fillId="0" borderId="14" xfId="55" applyNumberFormat="1" applyFill="1" applyBorder="1" applyProtection="1">
      <alignment/>
      <protection locked="0"/>
    </xf>
    <xf numFmtId="43" fontId="0" fillId="0" borderId="15" xfId="55" applyNumberFormat="1" applyFill="1" applyBorder="1" applyProtection="1">
      <alignment/>
      <protection locked="0"/>
    </xf>
    <xf numFmtId="43" fontId="0" fillId="0" borderId="0" xfId="55" applyNumberFormat="1" applyFont="1" applyAlignment="1">
      <alignment horizontal="left"/>
      <protection/>
    </xf>
    <xf numFmtId="43" fontId="0" fillId="0" borderId="0" xfId="55" applyNumberFormat="1" applyFill="1" applyProtection="1">
      <alignment/>
      <protection locked="0"/>
    </xf>
    <xf numFmtId="43" fontId="0" fillId="0" borderId="0" xfId="55" applyNumberFormat="1" applyFill="1">
      <alignment/>
      <protection/>
    </xf>
    <xf numFmtId="43" fontId="5" fillId="32" borderId="0" xfId="55" applyNumberFormat="1" applyFont="1" applyFill="1" applyBorder="1" applyAlignment="1">
      <alignment horizontal="left"/>
      <protection/>
    </xf>
    <xf numFmtId="43" fontId="11" fillId="0" borderId="0" xfId="55" applyNumberFormat="1" applyFont="1">
      <alignment/>
      <protection/>
    </xf>
    <xf numFmtId="43" fontId="0" fillId="0" borderId="0" xfId="55" applyNumberFormat="1" applyAlignment="1">
      <alignment horizontal="left"/>
      <protection/>
    </xf>
    <xf numFmtId="43" fontId="6" fillId="0" borderId="0" xfId="55" applyNumberFormat="1" applyFont="1" applyProtection="1">
      <alignment/>
      <protection locked="0"/>
    </xf>
    <xf numFmtId="43" fontId="3" fillId="32" borderId="0" xfId="55" applyNumberFormat="1" applyFont="1" applyFill="1" applyAlignment="1" applyProtection="1">
      <alignment vertical="top" wrapText="1"/>
      <protection locked="0"/>
    </xf>
    <xf numFmtId="43" fontId="0" fillId="0" borderId="0" xfId="55" applyNumberFormat="1" applyProtection="1">
      <alignment/>
      <protection locked="0"/>
    </xf>
    <xf numFmtId="43" fontId="2" fillId="0" borderId="12" xfId="55" applyNumberFormat="1" applyFont="1" applyFill="1" applyBorder="1" applyProtection="1">
      <alignment/>
      <protection locked="0"/>
    </xf>
    <xf numFmtId="43" fontId="9" fillId="0" borderId="10" xfId="55" applyNumberFormat="1" applyFont="1" applyFill="1" applyBorder="1" applyProtection="1">
      <alignment/>
      <protection locked="0"/>
    </xf>
    <xf numFmtId="43" fontId="9" fillId="0" borderId="11" xfId="55" applyNumberFormat="1" applyFont="1" applyFill="1" applyBorder="1" applyProtection="1">
      <alignment/>
      <protection locked="0"/>
    </xf>
    <xf numFmtId="43" fontId="0" fillId="0" borderId="0" xfId="55" applyNumberFormat="1" applyFill="1" applyAlignment="1" applyProtection="1">
      <alignment/>
      <protection locked="0"/>
    </xf>
    <xf numFmtId="43" fontId="0" fillId="0" borderId="0" xfId="0" applyNumberFormat="1" applyAlignment="1">
      <alignment/>
    </xf>
    <xf numFmtId="43" fontId="8" fillId="32" borderId="0" xfId="55" applyNumberFormat="1" applyFont="1" applyFill="1" applyBorder="1" applyAlignment="1">
      <alignment horizontal="left" vertical="top" wrapText="1"/>
      <protection/>
    </xf>
    <xf numFmtId="43" fontId="3" fillId="32" borderId="0" xfId="55" applyNumberFormat="1" applyFont="1" applyFill="1" applyBorder="1" applyAlignment="1" applyProtection="1">
      <alignment vertical="top" wrapText="1"/>
      <protection locked="0"/>
    </xf>
    <xf numFmtId="43" fontId="10" fillId="32" borderId="0" xfId="55" applyNumberFormat="1" applyFont="1" applyFill="1" applyProtection="1">
      <alignment/>
      <protection locked="0"/>
    </xf>
    <xf numFmtId="43" fontId="2" fillId="0" borderId="13" xfId="55" applyNumberFormat="1" applyFont="1" applyFill="1" applyBorder="1" applyProtection="1">
      <alignment/>
      <protection locked="0"/>
    </xf>
    <xf numFmtId="43" fontId="2" fillId="0" borderId="10" xfId="55" applyNumberFormat="1" applyFont="1" applyFill="1" applyBorder="1" applyProtection="1">
      <alignment/>
      <protection locked="0"/>
    </xf>
    <xf numFmtId="43" fontId="2" fillId="0" borderId="16" xfId="55" applyNumberFormat="1" applyFont="1" applyFill="1" applyBorder="1" applyProtection="1">
      <alignment/>
      <protection locked="0"/>
    </xf>
    <xf numFmtId="43" fontId="2" fillId="0" borderId="17" xfId="55" applyNumberFormat="1" applyFont="1" applyFill="1" applyBorder="1" applyProtection="1">
      <alignment/>
      <protection locked="0"/>
    </xf>
    <xf numFmtId="43" fontId="2" fillId="0" borderId="0" xfId="55" applyNumberFormat="1" applyFont="1" applyFill="1" applyBorder="1" applyProtection="1">
      <alignment/>
      <protection locked="0"/>
    </xf>
    <xf numFmtId="165" fontId="6" fillId="0" borderId="0" xfId="55" applyNumberFormat="1" applyFont="1" applyProtection="1">
      <alignment/>
      <protection locked="0"/>
    </xf>
    <xf numFmtId="165" fontId="10" fillId="32" borderId="0" xfId="55" applyNumberFormat="1" applyFont="1" applyFill="1" applyProtection="1">
      <alignment/>
      <protection locked="0"/>
    </xf>
    <xf numFmtId="165" fontId="3" fillId="32" borderId="0" xfId="55" applyNumberFormat="1" applyFont="1" applyFill="1" applyBorder="1" applyAlignment="1" applyProtection="1">
      <alignment vertical="top" wrapText="1"/>
      <protection locked="0"/>
    </xf>
    <xf numFmtId="165" fontId="11" fillId="0" borderId="0" xfId="55" applyNumberFormat="1" applyFont="1">
      <alignment/>
      <protection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16" fillId="32" borderId="0" xfId="0" applyFont="1" applyFill="1" applyBorder="1" applyAlignment="1" applyProtection="1">
      <alignment horizontal="left" vertical="center" wrapText="1"/>
      <protection locked="0"/>
    </xf>
    <xf numFmtId="0" fontId="12" fillId="32" borderId="0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Border="1" applyAlignment="1" applyProtection="1">
      <alignment horizontal="left" vertical="top" wrapText="1"/>
      <protection locked="0"/>
    </xf>
    <xf numFmtId="4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left"/>
    </xf>
    <xf numFmtId="165" fontId="26" fillId="32" borderId="0" xfId="0" applyNumberFormat="1" applyFont="1" applyFill="1" applyAlignment="1" applyProtection="1">
      <alignment/>
      <protection locked="0"/>
    </xf>
    <xf numFmtId="4" fontId="26" fillId="32" borderId="0" xfId="0" applyNumberFormat="1" applyFont="1" applyFill="1" applyAlignment="1" applyProtection="1">
      <alignment/>
      <protection locked="0"/>
    </xf>
    <xf numFmtId="165" fontId="20" fillId="0" borderId="18" xfId="0" applyNumberFormat="1" applyFont="1" applyBorder="1" applyAlignment="1">
      <alignment/>
    </xf>
    <xf numFmtId="0" fontId="14" fillId="32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43" fontId="20" fillId="0" borderId="10" xfId="0" applyNumberFormat="1" applyFont="1" applyBorder="1" applyAlignment="1">
      <alignment/>
    </xf>
    <xf numFmtId="0" fontId="11" fillId="32" borderId="0" xfId="0" applyFont="1" applyFill="1" applyBorder="1" applyAlignment="1" applyProtection="1">
      <alignment horizontal="left"/>
      <protection locked="0"/>
    </xf>
    <xf numFmtId="0" fontId="20" fillId="32" borderId="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55" applyFont="1" applyFill="1" applyProtection="1">
      <alignment/>
      <protection locked="0"/>
    </xf>
    <xf numFmtId="43" fontId="20" fillId="0" borderId="0" xfId="0" applyNumberFormat="1" applyFont="1" applyAlignment="1">
      <alignment wrapText="1"/>
    </xf>
    <xf numFmtId="43" fontId="20" fillId="0" borderId="10" xfId="0" applyNumberFormat="1" applyFont="1" applyBorder="1" applyAlignment="1">
      <alignment wrapText="1"/>
    </xf>
    <xf numFmtId="165" fontId="21" fillId="0" borderId="0" xfId="0" applyNumberFormat="1" applyFont="1" applyAlignment="1">
      <alignment/>
    </xf>
    <xf numFmtId="0" fontId="14" fillId="0" borderId="0" xfId="53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171" fontId="4" fillId="32" borderId="10" xfId="55" applyNumberFormat="1" applyFont="1" applyFill="1" applyBorder="1" applyAlignment="1" applyProtection="1">
      <alignment vertical="top" wrapText="1"/>
      <protection/>
    </xf>
    <xf numFmtId="43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Alignment="1">
      <alignment/>
    </xf>
    <xf numFmtId="43" fontId="14" fillId="4" borderId="19" xfId="0" applyNumberFormat="1" applyFont="1" applyFill="1" applyBorder="1" applyAlignment="1">
      <alignment vertical="center" wrapText="1"/>
    </xf>
    <xf numFmtId="43" fontId="14" fillId="4" borderId="19" xfId="0" applyNumberFormat="1" applyFont="1" applyFill="1" applyBorder="1" applyAlignment="1">
      <alignment wrapText="1"/>
    </xf>
    <xf numFmtId="43" fontId="14" fillId="33" borderId="20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/>
    </xf>
    <xf numFmtId="43" fontId="29" fillId="0" borderId="10" xfId="0" applyNumberFormat="1" applyFont="1" applyBorder="1" applyAlignment="1">
      <alignment wrapText="1"/>
    </xf>
    <xf numFmtId="171" fontId="12" fillId="32" borderId="10" xfId="0" applyNumberFormat="1" applyFont="1" applyFill="1" applyBorder="1" applyAlignment="1" applyProtection="1">
      <alignment vertical="top" wrapText="1"/>
      <protection locked="0"/>
    </xf>
    <xf numFmtId="43" fontId="11" fillId="0" borderId="0" xfId="0" applyNumberFormat="1" applyFont="1" applyAlignment="1">
      <alignment/>
    </xf>
    <xf numFmtId="43" fontId="21" fillId="0" borderId="0" xfId="55" applyNumberFormat="1" applyFont="1" applyProtection="1">
      <alignment/>
      <protection locked="0"/>
    </xf>
    <xf numFmtId="43" fontId="21" fillId="0" borderId="0" xfId="55" applyNumberFormat="1" applyFont="1" applyFill="1" applyProtection="1">
      <alignment/>
      <protection locked="0"/>
    </xf>
    <xf numFmtId="43" fontId="21" fillId="0" borderId="0" xfId="55" applyNumberFormat="1" applyFont="1" applyFill="1">
      <alignment/>
      <protection/>
    </xf>
    <xf numFmtId="43" fontId="11" fillId="0" borderId="0" xfId="55" applyNumberFormat="1" applyFont="1">
      <alignment/>
      <protection/>
    </xf>
    <xf numFmtId="171" fontId="12" fillId="32" borderId="10" xfId="55" applyNumberFormat="1" applyFont="1" applyFill="1" applyBorder="1" applyAlignment="1" applyProtection="1">
      <alignment vertical="top" wrapText="1"/>
      <protection/>
    </xf>
    <xf numFmtId="43" fontId="21" fillId="0" borderId="0" xfId="55" applyNumberFormat="1" applyFont="1" applyAlignment="1">
      <alignment horizontal="left"/>
      <protection/>
    </xf>
    <xf numFmtId="43" fontId="28" fillId="0" borderId="0" xfId="55" applyNumberFormat="1" applyFont="1" applyProtection="1">
      <alignment/>
      <protection locked="0"/>
    </xf>
    <xf numFmtId="164" fontId="28" fillId="0" borderId="0" xfId="55" applyNumberFormat="1" applyFont="1" applyProtection="1">
      <alignment/>
      <protection locked="0"/>
    </xf>
    <xf numFmtId="164" fontId="21" fillId="0" borderId="0" xfId="55" applyNumberFormat="1" applyFont="1" applyProtection="1">
      <alignment/>
      <protection locked="0"/>
    </xf>
    <xf numFmtId="43" fontId="29" fillId="0" borderId="0" xfId="55" applyNumberFormat="1" applyFont="1" applyAlignment="1" applyProtection="1">
      <alignment horizontal="center"/>
      <protection locked="0"/>
    </xf>
    <xf numFmtId="171" fontId="16" fillId="33" borderId="14" xfId="55" applyNumberFormat="1" applyFont="1" applyFill="1" applyBorder="1" applyAlignment="1" applyProtection="1">
      <alignment vertical="top" wrapText="1"/>
      <protection/>
    </xf>
    <xf numFmtId="171" fontId="4" fillId="32" borderId="10" xfId="55" applyNumberFormat="1" applyFont="1" applyFill="1" applyBorder="1" applyAlignment="1" applyProtection="1">
      <alignment vertical="top" wrapText="1"/>
      <protection locked="0"/>
    </xf>
    <xf numFmtId="171" fontId="4" fillId="32" borderId="21" xfId="55" applyNumberFormat="1" applyFont="1" applyFill="1" applyBorder="1" applyAlignment="1" applyProtection="1">
      <alignment vertical="top" wrapText="1"/>
      <protection locked="0"/>
    </xf>
    <xf numFmtId="171" fontId="3" fillId="33" borderId="14" xfId="55" applyNumberFormat="1" applyFont="1" applyFill="1" applyBorder="1" applyAlignment="1" applyProtection="1">
      <alignment vertical="top" wrapText="1"/>
      <protection/>
    </xf>
    <xf numFmtId="43" fontId="11" fillId="32" borderId="0" xfId="55" applyNumberFormat="1" applyFont="1" applyFill="1" applyBorder="1" applyAlignment="1">
      <alignment horizontal="left"/>
      <protection/>
    </xf>
    <xf numFmtId="0" fontId="11" fillId="0" borderId="0" xfId="55" applyFont="1">
      <alignment/>
      <protection/>
    </xf>
    <xf numFmtId="0" fontId="22" fillId="32" borderId="0" xfId="55" applyFont="1" applyFill="1" applyBorder="1" applyAlignment="1">
      <alignment horizontal="left" wrapText="1"/>
      <protection/>
    </xf>
    <xf numFmtId="0" fontId="21" fillId="0" borderId="0" xfId="55" applyFont="1" applyFill="1" applyAlignment="1" applyProtection="1">
      <alignment/>
      <protection locked="0"/>
    </xf>
    <xf numFmtId="0" fontId="21" fillId="0" borderId="0" xfId="55" applyFont="1" applyFill="1">
      <alignment/>
      <protection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43" fontId="22" fillId="32" borderId="0" xfId="55" applyNumberFormat="1" applyFont="1" applyFill="1" applyBorder="1" applyAlignment="1">
      <alignment horizontal="left" vertical="top" wrapText="1"/>
      <protection/>
    </xf>
    <xf numFmtId="43" fontId="24" fillId="32" borderId="0" xfId="55" applyNumberFormat="1" applyFont="1" applyFill="1" applyAlignment="1" applyProtection="1">
      <alignment vertical="top" wrapText="1"/>
      <protection locked="0"/>
    </xf>
    <xf numFmtId="0" fontId="22" fillId="32" borderId="0" xfId="55" applyFont="1" applyFill="1" applyBorder="1" applyAlignment="1">
      <alignment horizontal="left" vertical="top" wrapText="1"/>
      <protection/>
    </xf>
    <xf numFmtId="0" fontId="24" fillId="32" borderId="0" xfId="55" applyFont="1" applyFill="1" applyAlignment="1" applyProtection="1">
      <alignment vertical="top" wrapText="1"/>
      <protection locked="0"/>
    </xf>
    <xf numFmtId="165" fontId="24" fillId="32" borderId="0" xfId="55" applyNumberFormat="1" applyFont="1" applyFill="1" applyAlignment="1" applyProtection="1">
      <alignment vertical="top" wrapText="1"/>
      <protection locked="0"/>
    </xf>
    <xf numFmtId="0" fontId="22" fillId="32" borderId="0" xfId="0" applyFont="1" applyFill="1" applyBorder="1" applyAlignment="1">
      <alignment horizontal="left" wrapText="1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left"/>
    </xf>
    <xf numFmtId="165" fontId="24" fillId="32" borderId="0" xfId="0" applyNumberFormat="1" applyFont="1" applyFill="1" applyBorder="1" applyAlignment="1" applyProtection="1">
      <alignment vertical="top" wrapText="1"/>
      <protection locked="0"/>
    </xf>
    <xf numFmtId="4" fontId="24" fillId="32" borderId="0" xfId="0" applyNumberFormat="1" applyFont="1" applyFill="1" applyBorder="1" applyAlignment="1" applyProtection="1">
      <alignment vertical="top" wrapText="1"/>
      <protection locked="0"/>
    </xf>
    <xf numFmtId="0" fontId="16" fillId="32" borderId="0" xfId="0" applyFont="1" applyFill="1" applyBorder="1" applyAlignment="1">
      <alignment horizontal="left" vertical="top" wrapText="1"/>
    </xf>
    <xf numFmtId="4" fontId="24" fillId="32" borderId="0" xfId="0" applyNumberFormat="1" applyFont="1" applyFill="1" applyAlignment="1" applyProtection="1">
      <alignment vertical="top" wrapText="1"/>
      <protection locked="0"/>
    </xf>
    <xf numFmtId="165" fontId="24" fillId="32" borderId="0" xfId="0" applyNumberFormat="1" applyFont="1" applyFill="1" applyAlignment="1" applyProtection="1">
      <alignment vertical="top" wrapText="1"/>
      <protection locked="0"/>
    </xf>
    <xf numFmtId="3" fontId="20" fillId="0" borderId="0" xfId="0" applyNumberFormat="1" applyFont="1" applyAlignment="1">
      <alignment/>
    </xf>
    <xf numFmtId="3" fontId="26" fillId="32" borderId="0" xfId="0" applyNumberFormat="1" applyFont="1" applyFill="1" applyBorder="1" applyAlignment="1" applyProtection="1">
      <alignment/>
      <protection locked="0"/>
    </xf>
    <xf numFmtId="4" fontId="26" fillId="32" borderId="0" xfId="0" applyNumberFormat="1" applyFont="1" applyFill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left" vertical="center" wrapText="1"/>
      <protection locked="0"/>
    </xf>
    <xf numFmtId="43" fontId="22" fillId="32" borderId="22" xfId="0" applyNumberFormat="1" applyFont="1" applyFill="1" applyBorder="1" applyAlignment="1" applyProtection="1">
      <alignment horizontal="left" vertical="center" wrapText="1"/>
      <protection locked="0"/>
    </xf>
    <xf numFmtId="43" fontId="20" fillId="32" borderId="22" xfId="43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Alignment="1" applyProtection="1">
      <alignment/>
      <protection locked="0"/>
    </xf>
    <xf numFmtId="43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71" fontId="3" fillId="34" borderId="10" xfId="55" applyNumberFormat="1" applyFont="1" applyFill="1" applyBorder="1" applyAlignment="1" applyProtection="1">
      <alignment vertical="top" wrapText="1"/>
      <protection/>
    </xf>
    <xf numFmtId="43" fontId="14" fillId="33" borderId="14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171" fontId="3" fillId="33" borderId="10" xfId="55" applyNumberFormat="1" applyFont="1" applyFill="1" applyBorder="1" applyAlignment="1" applyProtection="1">
      <alignment vertical="top" wrapText="1"/>
      <protection/>
    </xf>
    <xf numFmtId="171" fontId="4" fillId="34" borderId="10" xfId="55" applyNumberFormat="1" applyFont="1" applyFill="1" applyBorder="1" applyAlignment="1" applyProtection="1">
      <alignment vertical="top" wrapText="1"/>
      <protection/>
    </xf>
    <xf numFmtId="171" fontId="4" fillId="34" borderId="10" xfId="55" applyNumberFormat="1" applyFont="1" applyFill="1" applyBorder="1" applyAlignment="1" applyProtection="1">
      <alignment vertical="top" wrapText="1"/>
      <protection locked="0"/>
    </xf>
    <xf numFmtId="171" fontId="3" fillId="34" borderId="10" xfId="55" applyNumberFormat="1" applyFont="1" applyFill="1" applyBorder="1" applyAlignment="1" applyProtection="1">
      <alignment vertical="top" wrapText="1"/>
      <protection/>
    </xf>
    <xf numFmtId="43" fontId="20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43" fontId="20" fillId="34" borderId="10" xfId="0" applyNumberFormat="1" applyFont="1" applyFill="1" applyBorder="1" applyAlignment="1">
      <alignment wrapText="1"/>
    </xf>
    <xf numFmtId="165" fontId="20" fillId="34" borderId="18" xfId="0" applyNumberFormat="1" applyFont="1" applyFill="1" applyBorder="1" applyAlignment="1">
      <alignment/>
    </xf>
    <xf numFmtId="43" fontId="20" fillId="34" borderId="10" xfId="0" applyNumberFormat="1" applyFont="1" applyFill="1" applyBorder="1" applyAlignment="1">
      <alignment/>
    </xf>
    <xf numFmtId="43" fontId="14" fillId="33" borderId="14" xfId="0" applyNumberFormat="1" applyFont="1" applyFill="1" applyBorder="1" applyAlignment="1">
      <alignment wrapText="1"/>
    </xf>
    <xf numFmtId="165" fontId="14" fillId="33" borderId="25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 applyProtection="1">
      <alignment vertical="top"/>
      <protection locked="0"/>
    </xf>
    <xf numFmtId="171" fontId="20" fillId="34" borderId="10" xfId="0" applyNumberFormat="1" applyFont="1" applyFill="1" applyBorder="1" applyAlignment="1" applyProtection="1">
      <alignment/>
      <protection locked="0"/>
    </xf>
    <xf numFmtId="43" fontId="14" fillId="4" borderId="19" xfId="55" applyNumberFormat="1" applyFont="1" applyFill="1" applyBorder="1" applyAlignment="1">
      <alignment horizontal="left" vertical="center"/>
      <protection/>
    </xf>
    <xf numFmtId="43" fontId="14" fillId="33" borderId="14" xfId="55" applyNumberFormat="1" applyFont="1" applyFill="1" applyBorder="1" applyAlignment="1">
      <alignment horizontal="left" vertical="center" wrapText="1"/>
      <protection/>
    </xf>
    <xf numFmtId="43" fontId="14" fillId="4" borderId="19" xfId="55" applyNumberFormat="1" applyFont="1" applyFill="1" applyBorder="1" applyAlignment="1">
      <alignment horizontal="left" vertical="center" wrapText="1"/>
      <protection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20" fillId="34" borderId="10" xfId="53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 quotePrefix="1">
      <alignment vertical="center" wrapText="1"/>
      <protection locked="0"/>
    </xf>
    <xf numFmtId="0" fontId="20" fillId="0" borderId="23" xfId="0" applyNumberFormat="1" applyFont="1" applyFill="1" applyBorder="1" applyAlignment="1" applyProtection="1" quotePrefix="1">
      <alignment vertical="center" wrapText="1"/>
      <protection locked="0"/>
    </xf>
    <xf numFmtId="0" fontId="14" fillId="33" borderId="14" xfId="53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 applyProtection="1">
      <alignment vertical="center" wrapText="1"/>
      <protection locked="0"/>
    </xf>
    <xf numFmtId="171" fontId="31" fillId="32" borderId="10" xfId="55" applyNumberFormat="1" applyFont="1" applyFill="1" applyBorder="1" applyAlignment="1" applyProtection="1">
      <alignment vertical="top" wrapText="1"/>
      <protection/>
    </xf>
    <xf numFmtId="171" fontId="29" fillId="0" borderId="0" xfId="55" applyNumberFormat="1" applyFont="1" applyAlignment="1" applyProtection="1">
      <alignment horizontal="center"/>
      <protection locked="0"/>
    </xf>
    <xf numFmtId="171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71" fontId="14" fillId="33" borderId="20" xfId="0" applyNumberFormat="1" applyFont="1" applyFill="1" applyBorder="1" applyAlignment="1">
      <alignment/>
    </xf>
    <xf numFmtId="171" fontId="8" fillId="33" borderId="14" xfId="55" applyNumberFormat="1" applyFont="1" applyFill="1" applyBorder="1" applyAlignment="1" applyProtection="1">
      <alignment vertical="top" wrapText="1"/>
      <protection/>
    </xf>
    <xf numFmtId="171" fontId="14" fillId="33" borderId="14" xfId="0" applyNumberFormat="1" applyFont="1" applyFill="1" applyBorder="1" applyAlignment="1">
      <alignment vertical="top"/>
    </xf>
    <xf numFmtId="171" fontId="20" fillId="34" borderId="10" xfId="0" applyNumberFormat="1" applyFont="1" applyFill="1" applyBorder="1" applyAlignment="1">
      <alignment/>
    </xf>
    <xf numFmtId="171" fontId="20" fillId="0" borderId="10" xfId="0" applyNumberFormat="1" applyFont="1" applyBorder="1" applyAlignment="1">
      <alignment/>
    </xf>
    <xf numFmtId="171" fontId="13" fillId="32" borderId="10" xfId="55" applyNumberFormat="1" applyFont="1" applyFill="1" applyBorder="1" applyAlignment="1" applyProtection="1">
      <alignment vertical="top" wrapText="1"/>
      <protection/>
    </xf>
    <xf numFmtId="171" fontId="13" fillId="32" borderId="10" xfId="55" applyNumberFormat="1" applyFont="1" applyFill="1" applyBorder="1" applyAlignment="1" applyProtection="1">
      <alignment vertical="top" wrapText="1"/>
      <protection locked="0"/>
    </xf>
    <xf numFmtId="171" fontId="13" fillId="34" borderId="10" xfId="55" applyNumberFormat="1" applyFont="1" applyFill="1" applyBorder="1" applyAlignment="1" applyProtection="1">
      <alignment vertical="top" wrapText="1"/>
      <protection/>
    </xf>
    <xf numFmtId="171" fontId="13" fillId="32" borderId="10" xfId="55" applyNumberFormat="1" applyFont="1" applyFill="1" applyBorder="1" applyAlignment="1" applyProtection="1">
      <alignment vertical="top" wrapText="1"/>
      <protection/>
    </xf>
    <xf numFmtId="171" fontId="13" fillId="32" borderId="10" xfId="55" applyNumberFormat="1" applyFont="1" applyFill="1" applyBorder="1" applyAlignment="1" applyProtection="1">
      <alignment vertical="top" wrapText="1"/>
      <protection locked="0"/>
    </xf>
    <xf numFmtId="171" fontId="13" fillId="34" borderId="10" xfId="55" applyNumberFormat="1" applyFont="1" applyFill="1" applyBorder="1" applyAlignment="1" applyProtection="1">
      <alignment vertical="top" wrapText="1"/>
      <protection/>
    </xf>
    <xf numFmtId="171" fontId="13" fillId="32" borderId="10" xfId="55" applyNumberFormat="1" applyFont="1" applyFill="1" applyBorder="1" applyAlignment="1" applyProtection="1">
      <alignment wrapText="1"/>
      <protection/>
    </xf>
    <xf numFmtId="171" fontId="13" fillId="34" borderId="10" xfId="55" applyNumberFormat="1" applyFont="1" applyFill="1" applyBorder="1" applyAlignment="1" applyProtection="1">
      <alignment wrapText="1"/>
      <protection/>
    </xf>
    <xf numFmtId="171" fontId="38" fillId="32" borderId="10" xfId="55" applyNumberFormat="1" applyFont="1" applyFill="1" applyBorder="1" applyAlignment="1" applyProtection="1">
      <alignment wrapText="1"/>
      <protection/>
    </xf>
    <xf numFmtId="171" fontId="8" fillId="33" borderId="14" xfId="55" applyNumberFormat="1" applyFont="1" applyFill="1" applyBorder="1" applyAlignment="1" applyProtection="1">
      <alignment vertical="center" wrapText="1"/>
      <protection/>
    </xf>
    <xf numFmtId="171" fontId="20" fillId="0" borderId="26" xfId="0" applyNumberFormat="1" applyFont="1" applyBorder="1" applyAlignment="1">
      <alignment/>
    </xf>
    <xf numFmtId="171" fontId="20" fillId="34" borderId="10" xfId="0" applyNumberFormat="1" applyFont="1" applyFill="1" applyBorder="1" applyAlignment="1">
      <alignment vertical="top"/>
    </xf>
    <xf numFmtId="171" fontId="20" fillId="33" borderId="14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>
      <alignment/>
    </xf>
    <xf numFmtId="171" fontId="14" fillId="33" borderId="27" xfId="0" applyNumberFormat="1" applyFont="1" applyFill="1" applyBorder="1" applyAlignment="1">
      <alignment/>
    </xf>
    <xf numFmtId="171" fontId="16" fillId="34" borderId="10" xfId="55" applyNumberFormat="1" applyFont="1" applyFill="1" applyBorder="1" applyAlignment="1" applyProtection="1">
      <alignment vertical="top" wrapText="1"/>
      <protection/>
    </xf>
    <xf numFmtId="171" fontId="12" fillId="34" borderId="10" xfId="55" applyNumberFormat="1" applyFont="1" applyFill="1" applyBorder="1" applyAlignment="1" applyProtection="1">
      <alignment vertical="top" wrapText="1"/>
      <protection/>
    </xf>
    <xf numFmtId="171" fontId="12" fillId="32" borderId="10" xfId="55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 applyProtection="1">
      <alignment/>
      <protection locked="0"/>
    </xf>
    <xf numFmtId="171" fontId="16" fillId="33" borderId="14" xfId="55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 vertical="top"/>
    </xf>
    <xf numFmtId="171" fontId="20" fillId="33" borderId="18" xfId="0" applyNumberFormat="1" applyFont="1" applyFill="1" applyBorder="1" applyAlignment="1">
      <alignment/>
    </xf>
    <xf numFmtId="171" fontId="20" fillId="0" borderId="0" xfId="0" applyNumberFormat="1" applyFont="1" applyAlignment="1">
      <alignment/>
    </xf>
    <xf numFmtId="171" fontId="12" fillId="32" borderId="21" xfId="0" applyNumberFormat="1" applyFont="1" applyFill="1" applyBorder="1" applyAlignment="1" applyProtection="1">
      <alignment vertical="top" wrapText="1"/>
      <protection locked="0"/>
    </xf>
    <xf numFmtId="171" fontId="16" fillId="33" borderId="14" xfId="0" applyNumberFormat="1" applyFont="1" applyFill="1" applyBorder="1" applyAlignment="1" applyProtection="1">
      <alignment vertical="top" wrapText="1"/>
      <protection locked="0"/>
    </xf>
    <xf numFmtId="171" fontId="12" fillId="34" borderId="10" xfId="0" applyNumberFormat="1" applyFont="1" applyFill="1" applyBorder="1" applyAlignment="1" applyProtection="1">
      <alignment vertical="top" wrapText="1"/>
      <protection locked="0"/>
    </xf>
    <xf numFmtId="43" fontId="14" fillId="33" borderId="10" xfId="0" applyNumberFormat="1" applyFont="1" applyFill="1" applyBorder="1" applyAlignment="1">
      <alignment/>
    </xf>
    <xf numFmtId="171" fontId="14" fillId="33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/>
      <protection locked="0"/>
    </xf>
    <xf numFmtId="171" fontId="20" fillId="32" borderId="10" xfId="0" applyNumberFormat="1" applyFont="1" applyFill="1" applyBorder="1" applyAlignment="1" applyProtection="1">
      <alignment vertical="top"/>
      <protection locked="0"/>
    </xf>
    <xf numFmtId="171" fontId="14" fillId="33" borderId="14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 vertical="top"/>
      <protection locked="0"/>
    </xf>
    <xf numFmtId="171" fontId="20" fillId="0" borderId="10" xfId="0" applyNumberFormat="1" applyFont="1" applyBorder="1" applyAlignment="1">
      <alignment vertical="top" wrapText="1"/>
    </xf>
    <xf numFmtId="171" fontId="14" fillId="33" borderId="14" xfId="0" applyNumberFormat="1" applyFont="1" applyFill="1" applyBorder="1" applyAlignment="1">
      <alignment vertical="top" wrapText="1"/>
    </xf>
    <xf numFmtId="171" fontId="20" fillId="0" borderId="10" xfId="0" applyNumberFormat="1" applyFont="1" applyBorder="1" applyAlignment="1">
      <alignment vertical="top"/>
    </xf>
    <xf numFmtId="171" fontId="14" fillId="34" borderId="10" xfId="0" applyNumberFormat="1" applyFont="1" applyFill="1" applyBorder="1" applyAlignment="1">
      <alignment vertical="top"/>
    </xf>
    <xf numFmtId="171" fontId="14" fillId="34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 vertical="top" wrapText="1"/>
      <protection locked="0"/>
    </xf>
    <xf numFmtId="171" fontId="20" fillId="0" borderId="23" xfId="0" applyNumberFormat="1" applyFont="1" applyBorder="1" applyAlignment="1">
      <alignment/>
    </xf>
    <xf numFmtId="171" fontId="20" fillId="34" borderId="21" xfId="0" applyNumberFormat="1" applyFont="1" applyFill="1" applyBorder="1" applyAlignment="1" applyProtection="1">
      <alignment/>
      <protection locked="0"/>
    </xf>
    <xf numFmtId="171" fontId="20" fillId="32" borderId="21" xfId="0" applyNumberFormat="1" applyFont="1" applyFill="1" applyBorder="1" applyAlignment="1" applyProtection="1">
      <alignment/>
      <protection locked="0"/>
    </xf>
    <xf numFmtId="171" fontId="29" fillId="0" borderId="10" xfId="0" applyNumberFormat="1" applyFont="1" applyBorder="1" applyAlignment="1">
      <alignment/>
    </xf>
    <xf numFmtId="171" fontId="20" fillId="34" borderId="10" xfId="0" applyNumberFormat="1" applyFont="1" applyFill="1" applyBorder="1" applyAlignment="1" applyProtection="1">
      <alignment vertical="top" wrapText="1"/>
      <protection locked="0"/>
    </xf>
    <xf numFmtId="43" fontId="20" fillId="0" borderId="10" xfId="0" applyNumberFormat="1" applyFont="1" applyFill="1" applyBorder="1" applyAlignment="1">
      <alignment/>
    </xf>
    <xf numFmtId="165" fontId="20" fillId="0" borderId="18" xfId="0" applyNumberFormat="1" applyFont="1" applyFill="1" applyBorder="1" applyAlignment="1">
      <alignment/>
    </xf>
    <xf numFmtId="171" fontId="35" fillId="0" borderId="0" xfId="55" applyNumberFormat="1" applyFont="1" applyAlignment="1" applyProtection="1">
      <alignment horizontal="center"/>
      <protection locked="0"/>
    </xf>
    <xf numFmtId="43" fontId="35" fillId="0" borderId="0" xfId="55" applyNumberFormat="1" applyFont="1" applyAlignment="1" applyProtection="1">
      <alignment horizontal="center"/>
      <protection locked="0"/>
    </xf>
    <xf numFmtId="43" fontId="20" fillId="0" borderId="10" xfId="0" applyNumberFormat="1" applyFont="1" applyBorder="1" applyAlignment="1">
      <alignment vertical="top" wrapText="1"/>
    </xf>
    <xf numFmtId="43" fontId="12" fillId="32" borderId="10" xfId="55" applyNumberFormat="1" applyFont="1" applyFill="1" applyBorder="1" applyAlignment="1">
      <alignment horizontal="left" vertical="center" wrapText="1"/>
      <protection/>
    </xf>
    <xf numFmtId="43" fontId="31" fillId="32" borderId="10" xfId="55" applyNumberFormat="1" applyFont="1" applyFill="1" applyBorder="1" applyAlignment="1">
      <alignment horizontal="left" vertical="center" wrapText="1"/>
      <protection/>
    </xf>
    <xf numFmtId="43" fontId="20" fillId="32" borderId="10" xfId="55" applyNumberFormat="1" applyFont="1" applyFill="1" applyBorder="1" applyAlignment="1">
      <alignment horizontal="left" vertical="center" wrapText="1"/>
      <protection/>
    </xf>
    <xf numFmtId="43" fontId="16" fillId="33" borderId="14" xfId="55" applyNumberFormat="1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 applyProtection="1">
      <alignment horizontal="left"/>
      <protection locked="0"/>
    </xf>
    <xf numFmtId="43" fontId="1" fillId="34" borderId="10" xfId="0" applyNumberFormat="1" applyFont="1" applyFill="1" applyBorder="1" applyAlignment="1">
      <alignment wrapText="1"/>
    </xf>
    <xf numFmtId="43" fontId="1" fillId="0" borderId="10" xfId="0" applyNumberFormat="1" applyFont="1" applyBorder="1" applyAlignment="1">
      <alignment vertical="top" wrapText="1"/>
    </xf>
    <xf numFmtId="43" fontId="1" fillId="0" borderId="10" xfId="0" applyNumberFormat="1" applyFont="1" applyBorder="1" applyAlignment="1">
      <alignment wrapText="1"/>
    </xf>
    <xf numFmtId="43" fontId="8" fillId="33" borderId="14" xfId="55" applyNumberFormat="1" applyFont="1" applyFill="1" applyBorder="1" applyAlignment="1">
      <alignment horizontal="left" vertical="center" wrapText="1"/>
      <protection/>
    </xf>
    <xf numFmtId="43" fontId="13" fillId="32" borderId="10" xfId="55" applyNumberFormat="1" applyFont="1" applyFill="1" applyBorder="1" applyAlignment="1">
      <alignment horizontal="left" vertical="center" wrapText="1"/>
      <protection/>
    </xf>
    <xf numFmtId="43" fontId="13" fillId="32" borderId="10" xfId="55" applyNumberFormat="1" applyFont="1" applyFill="1" applyBorder="1" applyAlignment="1" quotePrefix="1">
      <alignment horizontal="left" vertical="center" wrapText="1"/>
      <protection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21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left" vertical="center" wrapText="1"/>
    </xf>
    <xf numFmtId="43" fontId="13" fillId="34" borderId="10" xfId="55" applyNumberFormat="1" applyFont="1" applyFill="1" applyBorder="1" applyAlignment="1">
      <alignment horizontal="left" vertical="top" wrapText="1"/>
      <protection/>
    </xf>
    <xf numFmtId="43" fontId="13" fillId="32" borderId="10" xfId="55" applyNumberFormat="1" applyFont="1" applyFill="1" applyBorder="1" applyAlignment="1">
      <alignment horizontal="left" vertical="top" wrapText="1"/>
      <protection/>
    </xf>
    <xf numFmtId="43" fontId="8" fillId="33" borderId="10" xfId="55" applyNumberFormat="1" applyFont="1" applyFill="1" applyBorder="1" applyAlignment="1">
      <alignment horizontal="left" vertical="top" wrapText="1"/>
      <protection/>
    </xf>
    <xf numFmtId="43" fontId="8" fillId="33" borderId="14" xfId="55" applyNumberFormat="1" applyFont="1" applyFill="1" applyBorder="1" applyAlignment="1">
      <alignment horizontal="left" vertical="top" wrapText="1"/>
      <protection/>
    </xf>
    <xf numFmtId="0" fontId="13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4" borderId="10" xfId="0" applyFont="1" applyFill="1" applyBorder="1" applyAlignment="1" applyProtection="1">
      <alignment horizontal="left" vertical="top" wrapText="1"/>
      <protection locked="0"/>
    </xf>
    <xf numFmtId="43" fontId="16" fillId="33" borderId="14" xfId="55" applyNumberFormat="1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left" wrapText="1"/>
    </xf>
    <xf numFmtId="43" fontId="13" fillId="0" borderId="23" xfId="55" applyNumberFormat="1" applyFont="1" applyFill="1" applyBorder="1" applyAlignment="1">
      <alignment horizontal="left" wrapText="1"/>
      <protection/>
    </xf>
    <xf numFmtId="43" fontId="13" fillId="0" borderId="23" xfId="55" applyNumberFormat="1" applyFont="1" applyFill="1" applyBorder="1" applyAlignment="1">
      <alignment horizontal="left" wrapText="1"/>
      <protection/>
    </xf>
    <xf numFmtId="43" fontId="12" fillId="32" borderId="10" xfId="55" applyNumberFormat="1" applyFont="1" applyFill="1" applyBorder="1" applyAlignment="1">
      <alignment horizontal="left" vertical="center" wrapText="1"/>
      <protection/>
    </xf>
    <xf numFmtId="43" fontId="38" fillId="32" borderId="10" xfId="55" applyNumberFormat="1" applyFont="1" applyFill="1" applyBorder="1" applyAlignment="1">
      <alignment horizontal="left" vertical="top" wrapText="1"/>
      <protection/>
    </xf>
    <xf numFmtId="43" fontId="8" fillId="33" borderId="14" xfId="55" applyNumberFormat="1" applyFont="1" applyFill="1" applyBorder="1" applyAlignment="1">
      <alignment horizontal="left" wrapText="1"/>
      <protection/>
    </xf>
    <xf numFmtId="0" fontId="16" fillId="32" borderId="23" xfId="0" applyFont="1" applyFill="1" applyBorder="1" applyAlignment="1" applyProtection="1">
      <alignment horizontal="left" vertical="top" wrapText="1"/>
      <protection locked="0"/>
    </xf>
    <xf numFmtId="0" fontId="12" fillId="32" borderId="23" xfId="0" applyFont="1" applyFill="1" applyBorder="1" applyAlignment="1" applyProtection="1">
      <alignment horizontal="left" vertical="top" wrapText="1"/>
      <protection locked="0"/>
    </xf>
    <xf numFmtId="0" fontId="20" fillId="32" borderId="26" xfId="0" applyFont="1" applyFill="1" applyBorder="1" applyAlignment="1" applyProtection="1">
      <alignment horizontal="left"/>
      <protection locked="0"/>
    </xf>
    <xf numFmtId="0" fontId="16" fillId="32" borderId="10" xfId="0" applyFont="1" applyFill="1" applyBorder="1" applyAlignment="1" applyProtection="1">
      <alignment horizontal="left" vertical="top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12" fillId="32" borderId="10" xfId="0" applyFont="1" applyFill="1" applyBorder="1" applyAlignment="1" applyProtection="1">
      <alignment horizontal="left" vertical="center"/>
      <protection locked="0"/>
    </xf>
    <xf numFmtId="0" fontId="16" fillId="32" borderId="10" xfId="0" applyFont="1" applyFill="1" applyBorder="1" applyAlignment="1" applyProtection="1">
      <alignment horizontal="left" vertical="center" wrapText="1"/>
      <protection locked="0"/>
    </xf>
    <xf numFmtId="0" fontId="12" fillId="34" borderId="10" xfId="55" applyFont="1" applyFill="1" applyBorder="1" applyAlignment="1">
      <alignment horizontal="left" vertical="top" wrapText="1"/>
      <protection/>
    </xf>
    <xf numFmtId="0" fontId="12" fillId="32" borderId="10" xfId="55" applyFont="1" applyFill="1" applyBorder="1" applyAlignment="1">
      <alignment horizontal="left" vertical="center" wrapText="1"/>
      <protection/>
    </xf>
    <xf numFmtId="0" fontId="31" fillId="32" borderId="10" xfId="55" applyFont="1" applyFill="1" applyBorder="1" applyAlignment="1">
      <alignment horizontal="left" vertical="center" wrapText="1"/>
      <protection/>
    </xf>
    <xf numFmtId="0" fontId="16" fillId="33" borderId="14" xfId="55" applyFont="1" applyFill="1" applyBorder="1" applyAlignment="1">
      <alignment horizontal="left" vertical="top" wrapText="1"/>
      <protection/>
    </xf>
    <xf numFmtId="43" fontId="16" fillId="33" borderId="14" xfId="55" applyNumberFormat="1" applyFont="1" applyFill="1" applyBorder="1" applyAlignment="1">
      <alignment horizontal="left" vertical="top" wrapText="1"/>
      <protection/>
    </xf>
    <xf numFmtId="0" fontId="16" fillId="4" borderId="19" xfId="55" applyFont="1" applyFill="1" applyBorder="1" applyAlignment="1">
      <alignment horizontal="left" vertical="top" wrapText="1"/>
      <protection/>
    </xf>
    <xf numFmtId="0" fontId="14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14" fillId="4" borderId="19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/>
    </xf>
    <xf numFmtId="0" fontId="20" fillId="32" borderId="21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 applyProtection="1">
      <alignment vertical="top" wrapText="1"/>
      <protection locked="0"/>
    </xf>
    <xf numFmtId="0" fontId="20" fillId="32" borderId="10" xfId="0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20" fillId="32" borderId="21" xfId="0" applyFont="1" applyFill="1" applyBorder="1" applyAlignment="1" applyProtection="1">
      <alignment horizontal="left"/>
      <protection locked="0"/>
    </xf>
    <xf numFmtId="0" fontId="20" fillId="32" borderId="21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9" fontId="14" fillId="4" borderId="19" xfId="60" applyFont="1" applyFill="1" applyBorder="1" applyAlignment="1" applyProtection="1">
      <alignment horizontal="left" vertical="top" wrapText="1"/>
      <protection locked="0"/>
    </xf>
    <xf numFmtId="0" fontId="12" fillId="34" borderId="21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>
      <alignment horizontal="left"/>
    </xf>
    <xf numFmtId="43" fontId="20" fillId="32" borderId="21" xfId="55" applyNumberFormat="1" applyFont="1" applyFill="1" applyBorder="1" applyAlignment="1">
      <alignment horizontal="left" vertical="center" wrapText="1"/>
      <protection/>
    </xf>
    <xf numFmtId="43" fontId="20" fillId="32" borderId="10" xfId="55" applyNumberFormat="1" applyFont="1" applyFill="1" applyBorder="1" applyAlignment="1">
      <alignment horizontal="left" vertical="center"/>
      <protection/>
    </xf>
    <xf numFmtId="0" fontId="20" fillId="32" borderId="10" xfId="0" applyFont="1" applyFill="1" applyBorder="1" applyAlignment="1" applyProtection="1">
      <alignment horizontal="left" vertical="center" wrapText="1"/>
      <protection locked="0"/>
    </xf>
    <xf numFmtId="0" fontId="14" fillId="32" borderId="10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 applyProtection="1">
      <alignment horizontal="left" vertical="center" wrapText="1"/>
      <protection locked="0"/>
    </xf>
    <xf numFmtId="0" fontId="20" fillId="34" borderId="21" xfId="0" applyFont="1" applyFill="1" applyBorder="1" applyAlignment="1" applyProtection="1">
      <alignment horizontal="left" vertical="center" wrapText="1"/>
      <protection locked="0"/>
    </xf>
    <xf numFmtId="0" fontId="14" fillId="32" borderId="21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>
      <alignment horizontal="left" vertical="center" wrapText="1"/>
    </xf>
    <xf numFmtId="0" fontId="16" fillId="4" borderId="19" xfId="55" applyFont="1" applyFill="1" applyBorder="1" applyAlignment="1">
      <alignment horizontal="left" vertical="center" wrapText="1"/>
      <protection/>
    </xf>
    <xf numFmtId="43" fontId="16" fillId="4" borderId="19" xfId="55" applyNumberFormat="1" applyFont="1" applyFill="1" applyBorder="1" applyAlignment="1">
      <alignment horizontal="left" vertical="center" wrapText="1"/>
      <protection/>
    </xf>
    <xf numFmtId="43" fontId="8" fillId="4" borderId="19" xfId="55" applyNumberFormat="1" applyFont="1" applyFill="1" applyBorder="1" applyAlignment="1">
      <alignment horizontal="left" vertical="center" wrapText="1"/>
      <protection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4" borderId="19" xfId="55" applyFont="1" applyFill="1" applyBorder="1" applyAlignment="1">
      <alignment vertical="center" wrapText="1"/>
      <protection/>
    </xf>
    <xf numFmtId="0" fontId="14" fillId="4" borderId="19" xfId="0" applyFont="1" applyFill="1" applyBorder="1" applyAlignment="1">
      <alignment vertical="center"/>
    </xf>
    <xf numFmtId="43" fontId="29" fillId="32" borderId="10" xfId="55" applyNumberFormat="1" applyFont="1" applyFill="1" applyBorder="1" applyAlignment="1">
      <alignment horizontal="left" vertical="center" wrapText="1"/>
      <protection/>
    </xf>
    <xf numFmtId="43" fontId="14" fillId="4" borderId="19" xfId="0" applyNumberFormat="1" applyFont="1" applyFill="1" applyBorder="1" applyAlignment="1" applyProtection="1">
      <alignment vertical="center" wrapText="1"/>
      <protection locked="0"/>
    </xf>
    <xf numFmtId="9" fontId="14" fillId="4" borderId="19" xfId="60" applyFont="1" applyFill="1" applyBorder="1" applyAlignment="1" applyProtection="1">
      <alignment vertical="center" wrapText="1"/>
      <protection locked="0"/>
    </xf>
    <xf numFmtId="43" fontId="39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39" fillId="32" borderId="0" xfId="55" applyFont="1" applyFill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 applyProtection="1">
      <alignment/>
      <protection locked="0"/>
    </xf>
    <xf numFmtId="43" fontId="20" fillId="35" borderId="0" xfId="0" applyNumberFormat="1" applyFont="1" applyFill="1" applyAlignment="1">
      <alignment/>
    </xf>
    <xf numFmtId="43" fontId="20" fillId="0" borderId="0" xfId="0" applyNumberFormat="1" applyFont="1" applyAlignment="1">
      <alignment vertical="center"/>
    </xf>
    <xf numFmtId="49" fontId="12" fillId="32" borderId="10" xfId="55" applyNumberFormat="1" applyFont="1" applyFill="1" applyBorder="1" applyAlignment="1">
      <alignment horizontal="left" vertical="center" wrapText="1"/>
      <protection/>
    </xf>
    <xf numFmtId="43" fontId="14" fillId="0" borderId="0" xfId="55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>
      <alignment/>
    </xf>
    <xf numFmtId="177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Alignment="1">
      <alignment vertical="center"/>
    </xf>
    <xf numFmtId="171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10" xfId="55" applyNumberFormat="1" applyFont="1" applyFill="1" applyBorder="1" applyAlignment="1" applyProtection="1">
      <alignment vertical="center" wrapText="1"/>
      <protection locked="0"/>
    </xf>
    <xf numFmtId="171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171" fontId="20" fillId="0" borderId="0" xfId="55" applyNumberFormat="1" applyFont="1" applyAlignment="1">
      <alignment vertical="center"/>
      <protection/>
    </xf>
    <xf numFmtId="171" fontId="24" fillId="32" borderId="0" xfId="55" applyNumberFormat="1" applyFont="1" applyFill="1" applyAlignment="1" applyProtection="1">
      <alignment vertical="center" wrapText="1"/>
      <protection locked="0"/>
    </xf>
    <xf numFmtId="171" fontId="12" fillId="34" borderId="21" xfId="55" applyNumberFormat="1" applyFont="1" applyFill="1" applyBorder="1" applyAlignment="1" applyProtection="1">
      <alignment vertical="center" wrapText="1"/>
      <protection locked="0"/>
    </xf>
    <xf numFmtId="171" fontId="12" fillId="32" borderId="21" xfId="55" applyNumberFormat="1" applyFont="1" applyFill="1" applyBorder="1" applyAlignment="1" applyProtection="1">
      <alignment vertical="center" wrapText="1"/>
      <protection locked="0"/>
    </xf>
    <xf numFmtId="171" fontId="12" fillId="32" borderId="10" xfId="55" applyNumberFormat="1" applyFont="1" applyFill="1" applyBorder="1" applyAlignment="1" applyProtection="1">
      <alignment vertical="center" wrapText="1"/>
      <protection locked="0"/>
    </xf>
    <xf numFmtId="171" fontId="16" fillId="33" borderId="14" xfId="55" applyNumberFormat="1" applyFont="1" applyFill="1" applyBorder="1" applyAlignment="1" applyProtection="1">
      <alignment vertical="center" wrapText="1"/>
      <protection locked="0"/>
    </xf>
    <xf numFmtId="171" fontId="24" fillId="32" borderId="0" xfId="55" applyNumberFormat="1" applyFont="1" applyFill="1" applyBorder="1" applyAlignment="1" applyProtection="1">
      <alignment vertical="center" wrapText="1"/>
      <protection locked="0"/>
    </xf>
    <xf numFmtId="171" fontId="11" fillId="0" borderId="0" xfId="55" applyNumberFormat="1" applyFont="1" applyAlignment="1">
      <alignment vertical="center"/>
      <protection/>
    </xf>
    <xf numFmtId="171" fontId="20" fillId="34" borderId="23" xfId="55" applyNumberFormat="1" applyFont="1" applyFill="1" applyBorder="1" applyAlignment="1" applyProtection="1">
      <alignment vertical="center" wrapText="1"/>
      <protection locked="0"/>
    </xf>
    <xf numFmtId="171" fontId="20" fillId="32" borderId="23" xfId="55" applyNumberFormat="1" applyFont="1" applyFill="1" applyBorder="1" applyAlignment="1" applyProtection="1">
      <alignment vertical="center" wrapText="1"/>
      <protection locked="0"/>
    </xf>
    <xf numFmtId="171" fontId="20" fillId="35" borderId="23" xfId="55" applyNumberFormat="1" applyFont="1" applyFill="1" applyBorder="1" applyAlignment="1" applyProtection="1">
      <alignment vertical="center" wrapText="1"/>
      <protection locked="0"/>
    </xf>
    <xf numFmtId="171" fontId="20" fillId="33" borderId="23" xfId="55" applyNumberFormat="1" applyFont="1" applyFill="1" applyBorder="1" applyAlignment="1" applyProtection="1">
      <alignment vertical="center" wrapText="1"/>
      <protection locked="0"/>
    </xf>
    <xf numFmtId="171" fontId="20" fillId="32" borderId="14" xfId="55" applyNumberFormat="1" applyFont="1" applyFill="1" applyBorder="1" applyAlignment="1" applyProtection="1">
      <alignment vertical="center" wrapText="1"/>
      <protection locked="0"/>
    </xf>
    <xf numFmtId="171" fontId="26" fillId="32" borderId="0" xfId="55" applyNumberFormat="1" applyFont="1" applyFill="1" applyBorder="1" applyAlignment="1" applyProtection="1">
      <alignment horizontal="center" vertical="center" wrapText="1"/>
      <protection locked="0"/>
    </xf>
    <xf numFmtId="171" fontId="20" fillId="32" borderId="24" xfId="55" applyNumberFormat="1" applyFont="1" applyFill="1" applyBorder="1" applyAlignment="1" applyProtection="1">
      <alignment vertical="center" wrapText="1"/>
      <protection locked="0"/>
    </xf>
    <xf numFmtId="171" fontId="20" fillId="32" borderId="18" xfId="55" applyNumberFormat="1" applyFont="1" applyFill="1" applyBorder="1" applyAlignment="1" applyProtection="1">
      <alignment horizontal="center" vertical="center" wrapText="1"/>
      <protection locked="0"/>
    </xf>
    <xf numFmtId="171" fontId="20" fillId="0" borderId="10" xfId="55" applyNumberFormat="1" applyFont="1" applyBorder="1" applyAlignment="1">
      <alignment vertical="center"/>
      <protection/>
    </xf>
    <xf numFmtId="171" fontId="20" fillId="0" borderId="14" xfId="55" applyNumberFormat="1" applyFont="1" applyBorder="1" applyAlignment="1">
      <alignment vertical="center"/>
      <protection/>
    </xf>
    <xf numFmtId="171" fontId="14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 wrapText="1"/>
      <protection locked="0"/>
    </xf>
    <xf numFmtId="171" fontId="14" fillId="0" borderId="10" xfId="0" applyNumberFormat="1" applyFont="1" applyFill="1" applyBorder="1" applyAlignment="1" applyProtection="1">
      <alignment vertical="center" wrapText="1"/>
      <protection locked="0"/>
    </xf>
    <xf numFmtId="171" fontId="20" fillId="0" borderId="21" xfId="0" applyNumberFormat="1" applyFont="1" applyFill="1" applyBorder="1" applyAlignment="1" applyProtection="1">
      <alignment vertical="center" wrapText="1"/>
      <protection locked="0"/>
    </xf>
    <xf numFmtId="171" fontId="20" fillId="0" borderId="21" xfId="55" applyNumberFormat="1" applyFont="1" applyBorder="1" applyAlignment="1">
      <alignment vertical="center"/>
      <protection/>
    </xf>
    <xf numFmtId="171" fontId="20" fillId="0" borderId="14" xfId="0" applyNumberFormat="1" applyFont="1" applyFill="1" applyBorder="1" applyAlignment="1" applyProtection="1">
      <alignment vertical="center" wrapText="1"/>
      <protection locked="0"/>
    </xf>
    <xf numFmtId="17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/>
      <protection locked="0"/>
    </xf>
    <xf numFmtId="171" fontId="14" fillId="0" borderId="10" xfId="0" applyNumberFormat="1" applyFont="1" applyFill="1" applyBorder="1" applyAlignment="1" applyProtection="1">
      <alignment vertical="center"/>
      <protection locked="0"/>
    </xf>
    <xf numFmtId="171" fontId="20" fillId="0" borderId="21" xfId="0" applyNumberFormat="1" applyFont="1" applyFill="1" applyBorder="1" applyAlignment="1" applyProtection="1">
      <alignment vertical="center"/>
      <protection locked="0"/>
    </xf>
    <xf numFmtId="171" fontId="14" fillId="33" borderId="14" xfId="0" applyNumberFormat="1" applyFont="1" applyFill="1" applyBorder="1" applyAlignment="1" applyProtection="1">
      <alignment vertical="center"/>
      <protection locked="0"/>
    </xf>
    <xf numFmtId="171" fontId="14" fillId="33" borderId="20" xfId="55" applyNumberFormat="1" applyFont="1" applyFill="1" applyBorder="1" applyAlignment="1" applyProtection="1">
      <alignment vertical="center" wrapText="1"/>
      <protection locked="0"/>
    </xf>
    <xf numFmtId="171" fontId="26" fillId="32" borderId="0" xfId="55" applyNumberFormat="1" applyFont="1" applyFill="1" applyBorder="1" applyAlignment="1" applyProtection="1">
      <alignment horizontal="right" vertical="center" wrapText="1"/>
      <protection locked="0"/>
    </xf>
    <xf numFmtId="171" fontId="21" fillId="0" borderId="0" xfId="55" applyNumberFormat="1" applyFont="1" applyAlignment="1">
      <alignment vertical="center"/>
      <protection/>
    </xf>
    <xf numFmtId="171" fontId="18" fillId="0" borderId="0" xfId="55" applyNumberFormat="1" applyFont="1" applyAlignment="1">
      <alignment vertical="center"/>
      <protection/>
    </xf>
    <xf numFmtId="171" fontId="12" fillId="33" borderId="24" xfId="55" applyNumberFormat="1" applyFont="1" applyFill="1" applyBorder="1" applyAlignment="1" applyProtection="1">
      <alignment horizontal="center" vertical="center"/>
      <protection locked="0"/>
    </xf>
    <xf numFmtId="171" fontId="20" fillId="0" borderId="18" xfId="55" applyNumberFormat="1" applyFont="1" applyBorder="1" applyAlignment="1">
      <alignment vertical="center"/>
      <protection/>
    </xf>
    <xf numFmtId="171" fontId="20" fillId="0" borderId="27" xfId="55" applyNumberFormat="1" applyFont="1" applyBorder="1" applyAlignment="1">
      <alignment vertical="center"/>
      <protection/>
    </xf>
    <xf numFmtId="171" fontId="20" fillId="34" borderId="10" xfId="55" applyNumberFormat="1" applyFont="1" applyFill="1" applyBorder="1" applyAlignment="1">
      <alignment vertical="center"/>
      <protection/>
    </xf>
    <xf numFmtId="171" fontId="14" fillId="33" borderId="14" xfId="55" applyNumberFormat="1" applyFont="1" applyFill="1" applyBorder="1" applyAlignment="1">
      <alignment vertical="center"/>
      <protection/>
    </xf>
    <xf numFmtId="171" fontId="36" fillId="32" borderId="0" xfId="55" applyNumberFormat="1" applyFont="1" applyFill="1" applyBorder="1" applyAlignment="1" applyProtection="1">
      <alignment horizontal="center" vertical="center" wrapText="1"/>
      <protection locked="0"/>
    </xf>
    <xf numFmtId="171" fontId="28" fillId="0" borderId="0" xfId="55" applyNumberFormat="1" applyFont="1" applyAlignment="1">
      <alignment vertical="center"/>
      <protection/>
    </xf>
    <xf numFmtId="171" fontId="14" fillId="0" borderId="0" xfId="55" applyNumberFormat="1" applyFont="1" applyFill="1" applyBorder="1" applyAlignment="1">
      <alignment vertical="center"/>
      <protection/>
    </xf>
    <xf numFmtId="43" fontId="20" fillId="0" borderId="0" xfId="55" applyNumberFormat="1" applyFont="1" applyAlignment="1">
      <alignment vertical="center"/>
      <protection/>
    </xf>
    <xf numFmtId="43" fontId="21" fillId="0" borderId="0" xfId="55" applyNumberFormat="1" applyFont="1" applyAlignment="1">
      <alignment vertical="center"/>
      <protection/>
    </xf>
    <xf numFmtId="43" fontId="11" fillId="32" borderId="0" xfId="55" applyNumberFormat="1" applyFont="1" applyFill="1" applyBorder="1" applyAlignment="1">
      <alignment horizontal="left" vertical="center"/>
      <protection/>
    </xf>
    <xf numFmtId="43" fontId="20" fillId="0" borderId="10" xfId="55" applyNumberFormat="1" applyFont="1" applyBorder="1" applyAlignment="1" quotePrefix="1">
      <alignment vertical="center"/>
      <protection/>
    </xf>
    <xf numFmtId="43" fontId="20" fillId="0" borderId="14" xfId="55" applyNumberFormat="1" applyFont="1" applyBorder="1" applyAlignment="1" quotePrefix="1">
      <alignment vertical="center"/>
      <protection/>
    </xf>
    <xf numFmtId="0" fontId="14" fillId="33" borderId="14" xfId="53" applyFont="1" applyFill="1" applyBorder="1" applyAlignment="1" applyProtection="1">
      <alignment vertical="center" wrapText="1"/>
      <protection locked="0"/>
    </xf>
    <xf numFmtId="0" fontId="14" fillId="0" borderId="0" xfId="53" applyFont="1" applyFill="1" applyBorder="1" applyAlignment="1" applyProtection="1">
      <alignment vertical="center" wrapText="1"/>
      <protection locked="0"/>
    </xf>
    <xf numFmtId="43" fontId="18" fillId="0" borderId="0" xfId="55" applyNumberFormat="1" applyFont="1" applyAlignment="1">
      <alignment vertical="center"/>
      <protection/>
    </xf>
    <xf numFmtId="43" fontId="14" fillId="4" borderId="10" xfId="55" applyNumberFormat="1" applyFont="1" applyFill="1" applyBorder="1" applyAlignment="1">
      <alignment vertical="center"/>
      <protection/>
    </xf>
    <xf numFmtId="49" fontId="20" fillId="0" borderId="10" xfId="55" applyNumberFormat="1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vertical="center"/>
      <protection/>
    </xf>
    <xf numFmtId="49" fontId="14" fillId="33" borderId="14" xfId="55" applyNumberFormat="1" applyFont="1" applyFill="1" applyBorder="1" applyAlignment="1">
      <alignment vertical="center"/>
      <protection/>
    </xf>
    <xf numFmtId="49" fontId="18" fillId="0" borderId="0" xfId="55" applyNumberFormat="1" applyFont="1" applyAlignment="1">
      <alignment vertical="center"/>
      <protection/>
    </xf>
    <xf numFmtId="43" fontId="21" fillId="36" borderId="0" xfId="55" applyNumberFormat="1" applyFont="1" applyFill="1" applyAlignment="1">
      <alignment vertical="center"/>
      <protection/>
    </xf>
    <xf numFmtId="171" fontId="23" fillId="32" borderId="10" xfId="55" applyNumberFormat="1" applyFont="1" applyFill="1" applyBorder="1" applyAlignment="1" applyProtection="1">
      <alignment vertical="center" wrapText="1"/>
      <protection locked="0"/>
    </xf>
    <xf numFmtId="43" fontId="14" fillId="32" borderId="0" xfId="55" applyNumberFormat="1" applyFont="1" applyFill="1" applyBorder="1" applyAlignment="1">
      <alignment horizontal="left" vertical="center"/>
      <protection/>
    </xf>
    <xf numFmtId="171" fontId="24" fillId="0" borderId="0" xfId="55" applyNumberFormat="1" applyFont="1" applyFill="1" applyBorder="1" applyAlignment="1" applyProtection="1">
      <alignment vertical="center" wrapText="1"/>
      <protection locked="0"/>
    </xf>
    <xf numFmtId="171" fontId="28" fillId="33" borderId="10" xfId="55" applyNumberFormat="1" applyFont="1" applyFill="1" applyBorder="1" applyAlignment="1">
      <alignment vertical="center"/>
      <protection/>
    </xf>
    <xf numFmtId="43" fontId="21" fillId="0" borderId="0" xfId="55" applyNumberFormat="1" applyFont="1" applyFill="1" applyAlignment="1">
      <alignment vertical="center"/>
      <protection/>
    </xf>
    <xf numFmtId="0" fontId="20" fillId="32" borderId="23" xfId="0" applyFont="1" applyFill="1" applyBorder="1" applyAlignment="1" applyProtection="1">
      <alignment horizontal="left" vertical="center" wrapText="1"/>
      <protection locked="0"/>
    </xf>
    <xf numFmtId="171" fontId="12" fillId="35" borderId="10" xfId="55" applyNumberFormat="1" applyFont="1" applyFill="1" applyBorder="1" applyAlignment="1" applyProtection="1">
      <alignment vertical="center" wrapText="1"/>
      <protection locked="0"/>
    </xf>
    <xf numFmtId="171" fontId="12" fillId="0" borderId="21" xfId="55" applyNumberFormat="1" applyFont="1" applyFill="1" applyBorder="1" applyAlignment="1" applyProtection="1">
      <alignment vertical="center" wrapText="1"/>
      <protection locked="0"/>
    </xf>
    <xf numFmtId="171" fontId="12" fillId="0" borderId="10" xfId="55" applyNumberFormat="1" applyFont="1" applyFill="1" applyBorder="1" applyAlignment="1" applyProtection="1">
      <alignment vertical="center" wrapText="1"/>
      <protection locked="0"/>
    </xf>
    <xf numFmtId="171" fontId="14" fillId="4" borderId="19" xfId="55" applyNumberFormat="1" applyFont="1" applyFill="1" applyBorder="1" applyAlignment="1">
      <alignment horizontal="left" vertical="center"/>
      <protection/>
    </xf>
    <xf numFmtId="171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55" applyNumberFormat="1" applyFont="1" applyFill="1" applyBorder="1" applyAlignment="1">
      <alignment horizontal="left" vertical="center" wrapText="1"/>
      <protection/>
    </xf>
    <xf numFmtId="171" fontId="20" fillId="34" borderId="10" xfId="55" applyNumberFormat="1" applyFont="1" applyFill="1" applyBorder="1" applyAlignment="1">
      <alignment horizontal="left" vertical="center" wrapText="1"/>
      <protection/>
    </xf>
    <xf numFmtId="171" fontId="14" fillId="32" borderId="0" xfId="55" applyNumberFormat="1" applyFont="1" applyFill="1" applyBorder="1" applyAlignment="1">
      <alignment horizontal="left" vertical="center" wrapText="1"/>
      <protection/>
    </xf>
    <xf numFmtId="171" fontId="11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/>
      <protection locked="0"/>
    </xf>
    <xf numFmtId="171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1" fillId="32" borderId="0" xfId="55" applyNumberFormat="1" applyFont="1" applyFill="1" applyBorder="1" applyAlignment="1">
      <alignment horizontal="left" vertical="center"/>
      <protection/>
    </xf>
    <xf numFmtId="171" fontId="16" fillId="34" borderId="10" xfId="55" applyNumberFormat="1" applyFont="1" applyFill="1" applyBorder="1" applyAlignment="1" applyProtection="1">
      <alignment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32" borderId="0" xfId="55" applyNumberFormat="1" applyFont="1" applyFill="1" applyBorder="1" applyAlignment="1">
      <alignment horizontal="left" vertical="center"/>
      <protection/>
    </xf>
    <xf numFmtId="171" fontId="14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1" fillId="0" borderId="0" xfId="0" applyNumberFormat="1" applyFont="1" applyAlignment="1">
      <alignment vertical="center"/>
    </xf>
    <xf numFmtId="171" fontId="11" fillId="32" borderId="0" xfId="55" applyNumberFormat="1" applyFont="1" applyFill="1" applyBorder="1" applyAlignment="1">
      <alignment horizontal="left" vertical="center" wrapText="1"/>
      <protection/>
    </xf>
    <xf numFmtId="171" fontId="16" fillId="4" borderId="19" xfId="55" applyNumberFormat="1" applyFont="1" applyFill="1" applyBorder="1" applyAlignment="1">
      <alignment horizontal="left" vertical="center" wrapText="1"/>
      <protection/>
    </xf>
    <xf numFmtId="171" fontId="20" fillId="34" borderId="23" xfId="0" applyNumberFormat="1" applyFont="1" applyFill="1" applyBorder="1" applyAlignment="1" applyProtection="1">
      <alignment horizontal="left" vertical="center" wrapText="1"/>
      <protection locked="0"/>
    </xf>
    <xf numFmtId="171" fontId="12" fillId="34" borderId="23" xfId="55" applyNumberFormat="1" applyFont="1" applyFill="1" applyBorder="1" applyAlignment="1" applyProtection="1">
      <alignment vertical="center" wrapText="1"/>
      <protection locked="0"/>
    </xf>
    <xf numFmtId="171" fontId="21" fillId="0" borderId="0" xfId="55" applyNumberFormat="1" applyFont="1" applyFill="1" applyAlignment="1">
      <alignment vertical="center"/>
      <protection/>
    </xf>
    <xf numFmtId="171" fontId="29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29" fillId="32" borderId="10" xfId="55" applyNumberFormat="1" applyFont="1" applyFill="1" applyBorder="1" applyAlignment="1" applyProtection="1">
      <alignment vertical="center"/>
      <protection locked="0"/>
    </xf>
    <xf numFmtId="171" fontId="20" fillId="34" borderId="10" xfId="55" applyNumberFormat="1" applyFont="1" applyFill="1" applyBorder="1" applyAlignment="1" applyProtection="1">
      <alignment vertical="center"/>
      <protection locked="0"/>
    </xf>
    <xf numFmtId="171" fontId="20" fillId="34" borderId="26" xfId="0" applyNumberFormat="1" applyFont="1" applyFill="1" applyBorder="1" applyAlignment="1" applyProtection="1">
      <alignment horizontal="left" vertical="center" wrapText="1"/>
      <protection locked="0"/>
    </xf>
    <xf numFmtId="171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0" xfId="55" applyNumberFormat="1" applyFont="1" applyFill="1" applyBorder="1" applyAlignment="1">
      <alignment horizontal="left" vertical="center" wrapText="1"/>
      <protection/>
    </xf>
    <xf numFmtId="171" fontId="16" fillId="33" borderId="10" xfId="55" applyNumberFormat="1" applyFont="1" applyFill="1" applyBorder="1" applyAlignment="1" applyProtection="1">
      <alignment vertical="center" wrapText="1"/>
      <protection locked="0"/>
    </xf>
    <xf numFmtId="171" fontId="32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34" fillId="33" borderId="14" xfId="55" applyNumberFormat="1" applyFont="1" applyFill="1" applyBorder="1" applyAlignment="1" applyProtection="1">
      <alignment vertical="center" wrapText="1"/>
      <protection locked="0"/>
    </xf>
    <xf numFmtId="171" fontId="16" fillId="32" borderId="0" xfId="55" applyNumberFormat="1" applyFont="1" applyFill="1" applyBorder="1" applyAlignment="1">
      <alignment horizontal="left" vertical="center" wrapText="1"/>
      <protection/>
    </xf>
    <xf numFmtId="171" fontId="20" fillId="34" borderId="23" xfId="55" applyNumberFormat="1" applyFont="1" applyFill="1" applyBorder="1" applyAlignment="1">
      <alignment horizontal="left" vertical="center" wrapText="1"/>
      <protection/>
    </xf>
    <xf numFmtId="171" fontId="31" fillId="0" borderId="23" xfId="55" applyNumberFormat="1" applyFont="1" applyFill="1" applyBorder="1" applyAlignment="1">
      <alignment horizontal="left" vertical="center" wrapText="1"/>
      <protection/>
    </xf>
    <xf numFmtId="171" fontId="29" fillId="32" borderId="21" xfId="55" applyNumberFormat="1" applyFont="1" applyFill="1" applyBorder="1" applyAlignment="1" applyProtection="1">
      <alignment vertical="center"/>
      <protection locked="0"/>
    </xf>
    <xf numFmtId="171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31" fillId="0" borderId="23" xfId="55" applyNumberFormat="1" applyFont="1" applyFill="1" applyBorder="1" applyAlignment="1" applyProtection="1">
      <alignment vertical="center" wrapText="1"/>
      <protection locked="0"/>
    </xf>
    <xf numFmtId="171" fontId="27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21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6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4" fillId="32" borderId="22" xfId="55" applyNumberFormat="1" applyFont="1" applyFill="1" applyBorder="1" applyAlignment="1" applyProtection="1">
      <alignment vertical="center" wrapText="1"/>
      <protection locked="0"/>
    </xf>
    <xf numFmtId="171" fontId="20" fillId="32" borderId="10" xfId="55" applyNumberFormat="1" applyFont="1" applyFill="1" applyBorder="1" applyAlignment="1">
      <alignment horizontal="left" vertical="center" wrapText="1"/>
      <protection/>
    </xf>
    <xf numFmtId="171" fontId="29" fillId="32" borderId="21" xfId="55" applyNumberFormat="1" applyFont="1" applyFill="1" applyBorder="1" applyAlignment="1">
      <alignment horizontal="left" vertical="center" wrapText="1"/>
      <protection/>
    </xf>
    <xf numFmtId="171" fontId="31" fillId="32" borderId="10" xfId="55" applyNumberFormat="1" applyFont="1" applyFill="1" applyBorder="1" applyAlignment="1" applyProtection="1">
      <alignment vertical="center" wrapText="1"/>
      <protection locked="0"/>
    </xf>
    <xf numFmtId="171" fontId="14" fillId="34" borderId="21" xfId="55" applyNumberFormat="1" applyFont="1" applyFill="1" applyBorder="1" applyAlignment="1">
      <alignment horizontal="left" vertical="center" wrapText="1"/>
      <protection/>
    </xf>
    <xf numFmtId="171" fontId="14" fillId="35" borderId="21" xfId="55" applyNumberFormat="1" applyFont="1" applyFill="1" applyBorder="1" applyAlignment="1">
      <alignment horizontal="left" vertical="center" wrapText="1"/>
      <protection/>
    </xf>
    <xf numFmtId="171" fontId="16" fillId="35" borderId="21" xfId="55" applyNumberFormat="1" applyFont="1" applyFill="1" applyBorder="1" applyAlignment="1" applyProtection="1">
      <alignment vertical="center" wrapText="1"/>
      <protection locked="0"/>
    </xf>
    <xf numFmtId="171" fontId="16" fillId="33" borderId="27" xfId="55" applyNumberFormat="1" applyFont="1" applyFill="1" applyBorder="1" applyAlignment="1" applyProtection="1">
      <alignment vertical="center" wrapText="1"/>
      <protection locked="0"/>
    </xf>
    <xf numFmtId="171" fontId="20" fillId="32" borderId="0" xfId="55" applyNumberFormat="1" applyFont="1" applyFill="1" applyBorder="1" applyAlignment="1">
      <alignment horizontal="left" vertical="center"/>
      <protection/>
    </xf>
    <xf numFmtId="171" fontId="37" fillId="32" borderId="0" xfId="55" applyNumberFormat="1" applyFont="1" applyFill="1" applyAlignment="1" applyProtection="1">
      <alignment horizontal="center" vertical="center" wrapText="1"/>
      <protection locked="0"/>
    </xf>
    <xf numFmtId="171" fontId="21" fillId="36" borderId="0" xfId="55" applyNumberFormat="1" applyFont="1" applyFill="1" applyAlignment="1">
      <alignment vertical="center"/>
      <protection/>
    </xf>
    <xf numFmtId="171" fontId="14" fillId="4" borderId="19" xfId="55" applyNumberFormat="1" applyFont="1" applyFill="1" applyBorder="1" applyAlignment="1">
      <alignment horizontal="left" vertical="center" wrapText="1"/>
      <protection/>
    </xf>
    <xf numFmtId="171" fontId="20" fillId="32" borderId="23" xfId="55" applyNumberFormat="1" applyFont="1" applyFill="1" applyBorder="1" applyAlignment="1">
      <alignment horizontal="left" vertical="center" wrapText="1"/>
      <protection/>
    </xf>
    <xf numFmtId="171" fontId="12" fillId="32" borderId="23" xfId="56" applyNumberFormat="1" applyFont="1" applyFill="1" applyBorder="1" applyAlignment="1">
      <alignment horizontal="left" vertical="center" wrapText="1"/>
      <protection/>
    </xf>
    <xf numFmtId="171" fontId="20" fillId="35" borderId="10" xfId="55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0" xfId="55" applyNumberFormat="1" applyFont="1" applyFill="1" applyBorder="1" applyAlignment="1">
      <alignment horizontal="left" vertical="center" wrapText="1"/>
      <protection/>
    </xf>
    <xf numFmtId="171" fontId="14" fillId="4" borderId="10" xfId="55" applyNumberFormat="1" applyFont="1" applyFill="1" applyBorder="1" applyAlignment="1">
      <alignment horizontal="left" vertical="center" wrapText="1"/>
      <protection/>
    </xf>
    <xf numFmtId="171" fontId="20" fillId="0" borderId="10" xfId="55" applyNumberFormat="1" applyFont="1" applyFill="1" applyBorder="1" applyAlignment="1">
      <alignment horizontal="left" vertical="center" wrapText="1"/>
      <protection/>
    </xf>
    <xf numFmtId="171" fontId="14" fillId="4" borderId="19" xfId="55" applyNumberFormat="1" applyFont="1" applyFill="1" applyBorder="1" applyAlignment="1">
      <alignment vertical="center"/>
      <protection/>
    </xf>
    <xf numFmtId="171" fontId="14" fillId="33" borderId="20" xfId="55" applyNumberFormat="1" applyFont="1" applyFill="1" applyBorder="1" applyAlignment="1">
      <alignment horizontal="left" vertical="center" wrapText="1"/>
      <protection/>
    </xf>
    <xf numFmtId="171" fontId="20" fillId="34" borderId="10" xfId="55" applyNumberFormat="1" applyFont="1" applyFill="1" applyBorder="1" applyAlignment="1">
      <alignment horizontal="left" vertical="center"/>
      <protection/>
    </xf>
    <xf numFmtId="171" fontId="20" fillId="32" borderId="0" xfId="55" applyNumberFormat="1" applyFont="1" applyFill="1" applyBorder="1" applyAlignment="1">
      <alignment horizontal="left" vertical="center" wrapText="1"/>
      <protection/>
    </xf>
    <xf numFmtId="171" fontId="14" fillId="4" borderId="19" xfId="55" applyNumberFormat="1" applyFont="1" applyFill="1" applyBorder="1" applyAlignment="1">
      <alignment vertical="center" wrapText="1"/>
      <protection/>
    </xf>
    <xf numFmtId="171" fontId="20" fillId="35" borderId="23" xfId="55" applyNumberFormat="1" applyFont="1" applyFill="1" applyBorder="1" applyAlignment="1">
      <alignment horizontal="left" vertical="center" wrapText="1"/>
      <protection/>
    </xf>
    <xf numFmtId="171" fontId="20" fillId="33" borderId="23" xfId="55" applyNumberFormat="1" applyFont="1" applyFill="1" applyBorder="1" applyAlignment="1">
      <alignment horizontal="left" vertical="center" wrapText="1"/>
      <protection/>
    </xf>
    <xf numFmtId="171" fontId="20" fillId="32" borderId="14" xfId="55" applyNumberFormat="1" applyFont="1" applyFill="1" applyBorder="1" applyAlignment="1">
      <alignment horizontal="left" vertical="center" wrapText="1"/>
      <protection/>
    </xf>
    <xf numFmtId="171" fontId="20" fillId="0" borderId="0" xfId="55" applyNumberFormat="1" applyFont="1" applyAlignment="1" quotePrefix="1">
      <alignment vertical="center"/>
      <protection/>
    </xf>
    <xf numFmtId="171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4" borderId="19" xfId="0" applyNumberFormat="1" applyFont="1" applyFill="1" applyBorder="1" applyAlignment="1" applyProtection="1">
      <alignment vertical="center" wrapText="1"/>
      <protection locked="0"/>
    </xf>
    <xf numFmtId="171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1" xfId="0" applyNumberFormat="1" applyFont="1" applyFill="1" applyBorder="1" applyAlignment="1" applyProtection="1">
      <alignment horizontal="left" vertical="center" wrapText="1"/>
      <protection locked="0"/>
    </xf>
    <xf numFmtId="171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171" fontId="20" fillId="33" borderId="10" xfId="55" applyNumberFormat="1" applyFont="1" applyFill="1" applyBorder="1" applyAlignment="1">
      <alignment horizontal="left" vertical="center" wrapText="1"/>
      <protection/>
    </xf>
    <xf numFmtId="171" fontId="20" fillId="0" borderId="10" xfId="55" applyNumberFormat="1" applyFont="1" applyBorder="1" applyAlignment="1" quotePrefix="1">
      <alignment vertical="center"/>
      <protection/>
    </xf>
    <xf numFmtId="171" fontId="20" fillId="0" borderId="14" xfId="55" applyNumberFormat="1" applyFont="1" applyBorder="1" applyAlignment="1" quotePrefix="1">
      <alignment vertical="center"/>
      <protection/>
    </xf>
    <xf numFmtId="171" fontId="14" fillId="33" borderId="25" xfId="55" applyNumberFormat="1" applyFont="1" applyFill="1" applyBorder="1" applyAlignment="1" applyProtection="1">
      <alignment horizontal="right" vertical="center" wrapText="1"/>
      <protection locked="0"/>
    </xf>
    <xf numFmtId="171" fontId="20" fillId="32" borderId="10" xfId="55" applyNumberFormat="1" applyFont="1" applyFill="1" applyBorder="1" applyAlignment="1" applyProtection="1">
      <alignment horizontal="center" vertical="center" wrapText="1"/>
      <protection locked="0"/>
    </xf>
    <xf numFmtId="43" fontId="21" fillId="0" borderId="0" xfId="55" applyNumberFormat="1" applyFont="1" applyAlignment="1">
      <alignment horizontal="left" vertical="center"/>
      <protection/>
    </xf>
    <xf numFmtId="177" fontId="21" fillId="0" borderId="0" xfId="55" applyNumberFormat="1" applyFont="1" applyFill="1" applyAlignment="1" applyProtection="1">
      <alignment vertical="center"/>
      <protection locked="0"/>
    </xf>
    <xf numFmtId="43" fontId="21" fillId="0" borderId="0" xfId="55" applyNumberFormat="1" applyFont="1" applyFill="1" applyAlignment="1" applyProtection="1">
      <alignment vertical="center"/>
      <protection locked="0"/>
    </xf>
    <xf numFmtId="177" fontId="26" fillId="32" borderId="0" xfId="55" applyNumberFormat="1" applyFont="1" applyFill="1" applyAlignment="1" applyProtection="1">
      <alignment vertical="center"/>
      <protection locked="0"/>
    </xf>
    <xf numFmtId="171" fontId="20" fillId="32" borderId="10" xfId="55" applyNumberFormat="1" applyFont="1" applyFill="1" applyBorder="1" applyAlignment="1" applyProtection="1">
      <alignment vertical="center"/>
      <protection locked="0"/>
    </xf>
    <xf numFmtId="171" fontId="20" fillId="32" borderId="21" xfId="55" applyNumberFormat="1" applyFont="1" applyFill="1" applyBorder="1" applyAlignment="1" applyProtection="1">
      <alignment vertical="center"/>
      <protection locked="0"/>
    </xf>
    <xf numFmtId="171" fontId="14" fillId="33" borderId="14" xfId="55" applyNumberFormat="1" applyFont="1" applyFill="1" applyBorder="1" applyAlignment="1" applyProtection="1">
      <alignment vertical="center"/>
      <protection locked="0"/>
    </xf>
    <xf numFmtId="171" fontId="35" fillId="32" borderId="0" xfId="55" applyNumberFormat="1" applyFont="1" applyFill="1" applyAlignment="1" applyProtection="1">
      <alignment horizontal="center" vertical="center"/>
      <protection locked="0"/>
    </xf>
    <xf numFmtId="171" fontId="26" fillId="32" borderId="0" xfId="55" applyNumberFormat="1" applyFont="1" applyFill="1" applyAlignment="1" applyProtection="1">
      <alignment vertical="center"/>
      <protection locked="0"/>
    </xf>
    <xf numFmtId="171" fontId="14" fillId="32" borderId="10" xfId="55" applyNumberFormat="1" applyFont="1" applyFill="1" applyBorder="1" applyAlignment="1" applyProtection="1">
      <alignment vertical="center"/>
      <protection locked="0"/>
    </xf>
    <xf numFmtId="171" fontId="14" fillId="0" borderId="0" xfId="55" applyNumberFormat="1" applyFont="1" applyFill="1" applyBorder="1" applyAlignment="1" applyProtection="1">
      <alignment vertical="center"/>
      <protection locked="0"/>
    </xf>
    <xf numFmtId="0" fontId="22" fillId="32" borderId="0" xfId="55" applyFont="1" applyFill="1" applyBorder="1" applyAlignment="1">
      <alignment horizontal="left" vertical="center" wrapText="1"/>
      <protection/>
    </xf>
    <xf numFmtId="171" fontId="21" fillId="0" borderId="0" xfId="55" applyNumberFormat="1" applyFont="1" applyFill="1" applyAlignment="1" applyProtection="1">
      <alignment vertical="center"/>
      <protection locked="0"/>
    </xf>
    <xf numFmtId="0" fontId="21" fillId="0" borderId="0" xfId="55" applyFont="1" applyFill="1" applyAlignment="1" applyProtection="1">
      <alignment vertical="center"/>
      <protection locked="0"/>
    </xf>
    <xf numFmtId="0" fontId="21" fillId="0" borderId="0" xfId="55" applyFont="1" applyFill="1" applyAlignment="1">
      <alignment vertical="center"/>
      <protection/>
    </xf>
    <xf numFmtId="0" fontId="12" fillId="34" borderId="10" xfId="55" applyFont="1" applyFill="1" applyBorder="1" applyAlignment="1">
      <alignment horizontal="left" vertical="center" wrapText="1"/>
      <protection/>
    </xf>
    <xf numFmtId="171" fontId="23" fillId="34" borderId="10" xfId="55" applyNumberFormat="1" applyFont="1" applyFill="1" applyBorder="1" applyAlignment="1" applyProtection="1">
      <alignment vertical="center" wrapText="1"/>
      <protection/>
    </xf>
    <xf numFmtId="0" fontId="16" fillId="33" borderId="14" xfId="55" applyFont="1" applyFill="1" applyBorder="1" applyAlignment="1">
      <alignment horizontal="left" vertical="center" wrapText="1"/>
      <protection/>
    </xf>
    <xf numFmtId="171" fontId="24" fillId="33" borderId="14" xfId="55" applyNumberFormat="1" applyFont="1" applyFill="1" applyBorder="1" applyAlignment="1" applyProtection="1">
      <alignment vertical="center" wrapText="1"/>
      <protection/>
    </xf>
    <xf numFmtId="171" fontId="35" fillId="0" borderId="0" xfId="55" applyNumberFormat="1" applyFont="1" applyAlignment="1" applyProtection="1">
      <alignment horizontal="center" vertical="center"/>
      <protection locked="0"/>
    </xf>
    <xf numFmtId="43" fontId="2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1" fontId="20" fillId="0" borderId="10" xfId="0" applyNumberFormat="1" applyFont="1" applyBorder="1" applyAlignment="1">
      <alignment vertical="center"/>
    </xf>
    <xf numFmtId="171" fontId="20" fillId="34" borderId="10" xfId="0" applyNumberFormat="1" applyFont="1" applyFill="1" applyBorder="1" applyAlignment="1">
      <alignment vertical="center"/>
    </xf>
    <xf numFmtId="171" fontId="20" fillId="33" borderId="14" xfId="0" applyNumberFormat="1" applyFont="1" applyFill="1" applyBorder="1" applyAlignment="1">
      <alignment vertical="center"/>
    </xf>
    <xf numFmtId="43" fontId="39" fillId="0" borderId="0" xfId="0" applyNumberFormat="1" applyFont="1" applyAlignment="1">
      <alignment vertical="center"/>
    </xf>
    <xf numFmtId="43" fontId="20" fillId="34" borderId="10" xfId="0" applyNumberFormat="1" applyFont="1" applyFill="1" applyBorder="1" applyAlignment="1">
      <alignment vertical="center" wrapText="1"/>
    </xf>
    <xf numFmtId="171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 wrapText="1"/>
    </xf>
    <xf numFmtId="171" fontId="20" fillId="0" borderId="18" xfId="0" applyNumberFormat="1" applyFont="1" applyBorder="1" applyAlignment="1">
      <alignment vertical="center"/>
    </xf>
    <xf numFmtId="43" fontId="14" fillId="33" borderId="14" xfId="0" applyNumberFormat="1" applyFont="1" applyFill="1" applyBorder="1" applyAlignment="1">
      <alignment vertical="center"/>
    </xf>
    <xf numFmtId="171" fontId="14" fillId="33" borderId="27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171" fontId="26" fillId="32" borderId="0" xfId="0" applyNumberFormat="1" applyFont="1" applyFill="1" applyAlignment="1" applyProtection="1">
      <alignment vertical="center"/>
      <protection locked="0"/>
    </xf>
    <xf numFmtId="171" fontId="35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vertical="center" wrapText="1"/>
    </xf>
    <xf numFmtId="171" fontId="29" fillId="0" borderId="18" xfId="0" applyNumberFormat="1" applyFont="1" applyBorder="1" applyAlignment="1">
      <alignment vertical="center"/>
    </xf>
    <xf numFmtId="43" fontId="20" fillId="34" borderId="21" xfId="0" applyNumberFormat="1" applyFont="1" applyFill="1" applyBorder="1" applyAlignment="1">
      <alignment vertical="center" wrapText="1"/>
    </xf>
    <xf numFmtId="171" fontId="20" fillId="34" borderId="16" xfId="0" applyNumberFormat="1" applyFont="1" applyFill="1" applyBorder="1" applyAlignment="1">
      <alignment vertical="center"/>
    </xf>
    <xf numFmtId="171" fontId="20" fillId="0" borderId="16" xfId="0" applyNumberFormat="1" applyFont="1" applyBorder="1" applyAlignment="1">
      <alignment vertical="center"/>
    </xf>
    <xf numFmtId="171" fontId="24" fillId="32" borderId="0" xfId="0" applyNumberFormat="1" applyFont="1" applyFill="1" applyAlignment="1" applyProtection="1">
      <alignment horizontal="right" vertical="center" wrapText="1"/>
      <protection locked="0"/>
    </xf>
    <xf numFmtId="0" fontId="16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71" fontId="20" fillId="0" borderId="21" xfId="0" applyNumberFormat="1" applyFont="1" applyBorder="1" applyAlignment="1">
      <alignment vertical="center"/>
    </xf>
    <xf numFmtId="0" fontId="16" fillId="33" borderId="14" xfId="0" applyFont="1" applyFill="1" applyBorder="1" applyAlignment="1">
      <alignment horizontal="left" vertical="center" wrapText="1"/>
    </xf>
    <xf numFmtId="171" fontId="14" fillId="33" borderId="14" xfId="0" applyNumberFormat="1" applyFont="1" applyFill="1" applyBorder="1" applyAlignment="1">
      <alignment vertical="center"/>
    </xf>
    <xf numFmtId="171" fontId="24" fillId="34" borderId="10" xfId="55" applyNumberFormat="1" applyFont="1" applyFill="1" applyBorder="1" applyAlignment="1" applyProtection="1">
      <alignment vertical="center" wrapText="1"/>
      <protection locked="0"/>
    </xf>
    <xf numFmtId="0" fontId="21" fillId="0" borderId="0" xfId="55" applyFont="1" applyAlignment="1">
      <alignment horizontal="left" vertical="center"/>
      <protection/>
    </xf>
    <xf numFmtId="171" fontId="21" fillId="0" borderId="0" xfId="55" applyNumberFormat="1" applyFont="1" applyAlignment="1" applyProtection="1">
      <alignment vertical="center"/>
      <protection locked="0"/>
    </xf>
    <xf numFmtId="0" fontId="21" fillId="0" borderId="12" xfId="55" applyFont="1" applyFill="1" applyBorder="1" applyAlignment="1" applyProtection="1">
      <alignment vertical="center"/>
      <protection locked="0"/>
    </xf>
    <xf numFmtId="0" fontId="20" fillId="0" borderId="10" xfId="55" applyFont="1" applyFill="1" applyBorder="1" applyAlignment="1" applyProtection="1">
      <alignment horizontal="center" vertical="center"/>
      <protection locked="0"/>
    </xf>
    <xf numFmtId="0" fontId="20" fillId="0" borderId="11" xfId="55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2" fillId="35" borderId="23" xfId="0" applyFont="1" applyFill="1" applyBorder="1" applyAlignment="1" applyProtection="1">
      <alignment horizontal="left" vertical="center" wrapText="1"/>
      <protection locked="0"/>
    </xf>
    <xf numFmtId="171" fontId="20" fillId="35" borderId="18" xfId="0" applyNumberFormat="1" applyFont="1" applyFill="1" applyBorder="1" applyAlignment="1">
      <alignment vertical="center"/>
    </xf>
    <xf numFmtId="171" fontId="20" fillId="0" borderId="18" xfId="0" applyNumberFormat="1" applyFont="1" applyFill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177" fontId="21" fillId="0" borderId="0" xfId="55" applyNumberFormat="1" applyFont="1" applyAlignment="1" applyProtection="1">
      <alignment vertical="center"/>
      <protection locked="0"/>
    </xf>
    <xf numFmtId="177" fontId="34" fillId="32" borderId="0" xfId="0" applyNumberFormat="1" applyFont="1" applyFill="1" applyBorder="1" applyAlignment="1" applyProtection="1">
      <alignment vertical="center" wrapText="1"/>
      <protection locked="0"/>
    </xf>
    <xf numFmtId="177" fontId="20" fillId="32" borderId="22" xfId="43" applyNumberFormat="1" applyFont="1" applyFill="1" applyBorder="1" applyAlignment="1" applyProtection="1">
      <alignment vertical="center"/>
      <protection locked="0"/>
    </xf>
    <xf numFmtId="43" fontId="20" fillId="0" borderId="0" xfId="0" applyNumberFormat="1" applyFont="1" applyFill="1" applyAlignment="1" applyProtection="1">
      <alignment vertical="center"/>
      <protection locked="0"/>
    </xf>
    <xf numFmtId="43" fontId="20" fillId="34" borderId="10" xfId="0" applyNumberFormat="1" applyFont="1" applyFill="1" applyBorder="1" applyAlignment="1">
      <alignment vertical="center"/>
    </xf>
    <xf numFmtId="177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0" fillId="35" borderId="10" xfId="0" applyNumberFormat="1" applyFont="1" applyFill="1" applyBorder="1" applyAlignment="1">
      <alignment vertical="center"/>
    </xf>
    <xf numFmtId="177" fontId="20" fillId="35" borderId="18" xfId="0" applyNumberFormat="1" applyFont="1" applyFill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43" fontId="14" fillId="33" borderId="20" xfId="0" applyNumberFormat="1" applyFont="1" applyFill="1" applyBorder="1" applyAlignment="1">
      <alignment vertical="center"/>
    </xf>
    <xf numFmtId="177" fontId="14" fillId="33" borderId="14" xfId="0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43" fontId="21" fillId="0" borderId="0" xfId="55" applyNumberFormat="1" applyFont="1" applyAlignment="1">
      <alignment horizontal="center" vertical="center" wrapText="1"/>
      <protection/>
    </xf>
    <xf numFmtId="43" fontId="21" fillId="0" borderId="0" xfId="55" applyNumberFormat="1" applyFont="1" applyAlignment="1" applyProtection="1">
      <alignment/>
      <protection locked="0"/>
    </xf>
    <xf numFmtId="43" fontId="21" fillId="0" borderId="0" xfId="55" applyNumberFormat="1" applyFont="1" applyFill="1" applyAlignment="1" applyProtection="1">
      <alignment/>
      <protection locked="0"/>
    </xf>
    <xf numFmtId="177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177" fontId="20" fillId="32" borderId="10" xfId="0" applyNumberFormat="1" applyFont="1" applyFill="1" applyBorder="1" applyAlignment="1" applyProtection="1">
      <alignment horizontal="right" vertical="center"/>
      <protection locked="0"/>
    </xf>
    <xf numFmtId="2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0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37" borderId="29" xfId="0" applyFont="1" applyFill="1" applyBorder="1" applyAlignment="1" applyProtection="1">
      <alignment horizontal="left" wrapText="1"/>
      <protection locked="0"/>
    </xf>
    <xf numFmtId="0" fontId="20" fillId="33" borderId="30" xfId="0" applyFont="1" applyFill="1" applyBorder="1" applyAlignment="1" applyProtection="1">
      <alignment horizontal="left" wrapText="1"/>
      <protection locked="0"/>
    </xf>
    <xf numFmtId="171" fontId="20" fillId="37" borderId="19" xfId="0" applyNumberFormat="1" applyFont="1" applyFill="1" applyBorder="1" applyAlignment="1" applyProtection="1">
      <alignment horizontal="right" vertical="top" wrapText="1"/>
      <protection locked="0"/>
    </xf>
    <xf numFmtId="171" fontId="20" fillId="33" borderId="10" xfId="0" applyNumberFormat="1" applyFont="1" applyFill="1" applyBorder="1" applyAlignment="1" applyProtection="1">
      <alignment horizontal="right" vertical="top" wrapText="1"/>
      <protection locked="0"/>
    </xf>
    <xf numFmtId="171" fontId="20" fillId="0" borderId="10" xfId="55" applyNumberFormat="1" applyFont="1" applyFill="1" applyBorder="1" applyAlignment="1">
      <alignment vertical="center"/>
      <protection/>
    </xf>
    <xf numFmtId="171" fontId="20" fillId="0" borderId="0" xfId="55" applyNumberFormat="1" applyFont="1" applyBorder="1" applyAlignment="1">
      <alignment vertical="center"/>
      <protection/>
    </xf>
    <xf numFmtId="0" fontId="1" fillId="37" borderId="31" xfId="0" applyFont="1" applyFill="1" applyBorder="1" applyAlignment="1">
      <alignment horizontal="left" wrapText="1"/>
    </xf>
    <xf numFmtId="2" fontId="20" fillId="37" borderId="14" xfId="0" applyNumberFormat="1" applyFont="1" applyFill="1" applyBorder="1" applyAlignment="1" applyProtection="1">
      <alignment horizontal="right" vertical="top" wrapText="1"/>
      <protection locked="0"/>
    </xf>
    <xf numFmtId="171" fontId="41" fillId="38" borderId="0" xfId="55" applyNumberFormat="1" applyFont="1" applyFill="1" applyAlignment="1">
      <alignment vertical="center"/>
      <protection/>
    </xf>
    <xf numFmtId="43" fontId="41" fillId="0" borderId="0" xfId="55" applyNumberFormat="1" applyFont="1" applyAlignment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171" fontId="20" fillId="0" borderId="10" xfId="0" applyNumberFormat="1" applyFont="1" applyFill="1" applyBorder="1" applyAlignment="1" applyProtection="1">
      <alignment vertical="top" wrapText="1"/>
      <protection locked="0"/>
    </xf>
    <xf numFmtId="171" fontId="12" fillId="0" borderId="10" xfId="0" applyNumberFormat="1" applyFont="1" applyFill="1" applyBorder="1" applyAlignment="1" applyProtection="1">
      <alignment vertical="top" wrapText="1"/>
      <protection locked="0"/>
    </xf>
    <xf numFmtId="171" fontId="16" fillId="34" borderId="10" xfId="55" applyNumberFormat="1" applyFont="1" applyFill="1" applyBorder="1" applyAlignment="1" applyProtection="1">
      <alignment vertical="center" wrapText="1"/>
      <protection/>
    </xf>
    <xf numFmtId="171" fontId="12" fillId="32" borderId="10" xfId="55" applyNumberFormat="1" applyFont="1" applyFill="1" applyBorder="1" applyAlignment="1" applyProtection="1">
      <alignment vertical="center" wrapText="1"/>
      <protection/>
    </xf>
    <xf numFmtId="171" fontId="31" fillId="32" borderId="10" xfId="55" applyNumberFormat="1" applyFont="1" applyFill="1" applyBorder="1" applyAlignment="1" applyProtection="1">
      <alignment vertical="center" wrapText="1"/>
      <protection/>
    </xf>
    <xf numFmtId="171" fontId="12" fillId="34" borderId="10" xfId="55" applyNumberFormat="1" applyFont="1" applyFill="1" applyBorder="1" applyAlignment="1" applyProtection="1">
      <alignment vertical="center" wrapText="1"/>
      <protection/>
    </xf>
    <xf numFmtId="171" fontId="16" fillId="33" borderId="14" xfId="55" applyNumberFormat="1" applyFont="1" applyFill="1" applyBorder="1" applyAlignment="1" applyProtection="1">
      <alignment vertical="center" wrapText="1"/>
      <protection/>
    </xf>
    <xf numFmtId="43" fontId="28" fillId="0" borderId="0" xfId="0" applyNumberFormat="1" applyFont="1" applyAlignment="1">
      <alignment vertical="center"/>
    </xf>
    <xf numFmtId="171" fontId="20" fillId="32" borderId="10" xfId="0" applyNumberFormat="1" applyFont="1" applyFill="1" applyBorder="1" applyAlignment="1" applyProtection="1">
      <alignment vertical="center"/>
      <protection locked="0"/>
    </xf>
    <xf numFmtId="171" fontId="14" fillId="34" borderId="10" xfId="0" applyNumberFormat="1" applyFont="1" applyFill="1" applyBorder="1" applyAlignment="1" applyProtection="1">
      <alignment vertical="center"/>
      <protection locked="0"/>
    </xf>
    <xf numFmtId="171" fontId="14" fillId="34" borderId="21" xfId="0" applyNumberFormat="1" applyFont="1" applyFill="1" applyBorder="1" applyAlignment="1" applyProtection="1">
      <alignment vertical="center"/>
      <protection locked="0"/>
    </xf>
    <xf numFmtId="171" fontId="20" fillId="32" borderId="21" xfId="0" applyNumberFormat="1" applyFont="1" applyFill="1" applyBorder="1" applyAlignment="1" applyProtection="1">
      <alignment vertical="center"/>
      <protection locked="0"/>
    </xf>
    <xf numFmtId="171" fontId="14" fillId="34" borderId="18" xfId="0" applyNumberFormat="1" applyFont="1" applyFill="1" applyBorder="1" applyAlignment="1" applyProtection="1">
      <alignment vertical="center"/>
      <protection locked="0"/>
    </xf>
    <xf numFmtId="171" fontId="20" fillId="35" borderId="18" xfId="0" applyNumberFormat="1" applyFont="1" applyFill="1" applyBorder="1" applyAlignment="1" applyProtection="1">
      <alignment vertical="center"/>
      <protection locked="0"/>
    </xf>
    <xf numFmtId="171" fontId="20" fillId="32" borderId="18" xfId="0" applyNumberFormat="1" applyFont="1" applyFill="1" applyBorder="1" applyAlignment="1" applyProtection="1">
      <alignment vertical="center"/>
      <protection locked="0"/>
    </xf>
    <xf numFmtId="171" fontId="14" fillId="32" borderId="18" xfId="0" applyNumberFormat="1" applyFont="1" applyFill="1" applyBorder="1" applyAlignment="1" applyProtection="1">
      <alignment vertical="center"/>
      <protection locked="0"/>
    </xf>
    <xf numFmtId="43" fontId="28" fillId="0" borderId="0" xfId="55" applyNumberFormat="1" applyFont="1" applyAlignment="1">
      <alignment horizontal="left"/>
      <protection/>
    </xf>
    <xf numFmtId="43" fontId="28" fillId="0" borderId="0" xfId="0" applyNumberFormat="1" applyFont="1" applyAlignment="1">
      <alignment/>
    </xf>
    <xf numFmtId="0" fontId="28" fillId="32" borderId="0" xfId="55" applyFont="1" applyFill="1" applyBorder="1" applyAlignment="1">
      <alignment horizontal="left" vertical="center" wrapText="1"/>
      <protection/>
    </xf>
    <xf numFmtId="43" fontId="28" fillId="0" borderId="0" xfId="55" applyNumberFormat="1" applyFont="1" applyAlignment="1">
      <alignment horizontal="left" vertical="center"/>
      <protection/>
    </xf>
    <xf numFmtId="43" fontId="21" fillId="0" borderId="0" xfId="0" applyNumberFormat="1" applyFont="1" applyAlignment="1">
      <alignment vertical="center"/>
    </xf>
    <xf numFmtId="0" fontId="28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5" fontId="21" fillId="0" borderId="0" xfId="57" applyFont="1">
      <alignment/>
      <protection/>
    </xf>
    <xf numFmtId="175" fontId="28" fillId="4" borderId="10" xfId="57" applyFont="1" applyFill="1" applyBorder="1" applyAlignment="1">
      <alignment horizontal="center" vertical="center"/>
      <protection/>
    </xf>
    <xf numFmtId="1" fontId="14" fillId="4" borderId="21" xfId="57" applyNumberFormat="1" applyFont="1" applyFill="1" applyBorder="1" applyAlignment="1" applyProtection="1">
      <alignment horizontal="center" vertical="center" wrapText="1"/>
      <protection locked="0"/>
    </xf>
    <xf numFmtId="175" fontId="21" fillId="0" borderId="10" xfId="57" applyFont="1" applyBorder="1">
      <alignment/>
      <protection/>
    </xf>
    <xf numFmtId="171" fontId="21" fillId="0" borderId="10" xfId="57" applyNumberFormat="1" applyFont="1" applyBorder="1">
      <alignment/>
      <protection/>
    </xf>
    <xf numFmtId="175" fontId="21" fillId="0" borderId="10" xfId="57" applyFont="1" applyFill="1" applyBorder="1">
      <alignment/>
      <protection/>
    </xf>
    <xf numFmtId="171" fontId="21" fillId="0" borderId="10" xfId="57" applyNumberFormat="1" applyFont="1" applyFill="1" applyBorder="1">
      <alignment/>
      <protection/>
    </xf>
    <xf numFmtId="178" fontId="21" fillId="0" borderId="10" xfId="57" applyNumberFormat="1" applyFont="1" applyBorder="1">
      <alignment/>
      <protection/>
    </xf>
    <xf numFmtId="178" fontId="21" fillId="0" borderId="10" xfId="57" applyNumberFormat="1" applyFont="1" applyFill="1" applyBorder="1">
      <alignment/>
      <protection/>
    </xf>
    <xf numFmtId="178" fontId="21" fillId="36" borderId="10" xfId="57" applyNumberFormat="1" applyFont="1" applyFill="1" applyBorder="1">
      <alignment/>
      <protection/>
    </xf>
    <xf numFmtId="0" fontId="21" fillId="0" borderId="0" xfId="0" applyFont="1" applyAlignment="1">
      <alignment horizontal="right"/>
    </xf>
    <xf numFmtId="179" fontId="21" fillId="0" borderId="0" xfId="0" applyNumberFormat="1" applyFont="1" applyAlignment="1">
      <alignment/>
    </xf>
    <xf numFmtId="175" fontId="20" fillId="0" borderId="0" xfId="57" applyFont="1">
      <alignment/>
      <protection/>
    </xf>
    <xf numFmtId="43" fontId="47" fillId="0" borderId="10" xfId="0" applyNumberFormat="1" applyFont="1" applyFill="1" applyBorder="1" applyAlignment="1">
      <alignment horizontal="center" vertical="center" wrapText="1"/>
    </xf>
    <xf numFmtId="43" fontId="46" fillId="0" borderId="10" xfId="0" applyNumberFormat="1" applyFont="1" applyFill="1" applyBorder="1" applyAlignment="1">
      <alignment horizontal="left" vertical="center" wrapText="1"/>
    </xf>
    <xf numFmtId="43" fontId="45" fillId="0" borderId="10" xfId="0" applyNumberFormat="1" applyFont="1" applyFill="1" applyBorder="1" applyAlignment="1">
      <alignment horizontal="left" vertical="center" wrapText="1"/>
    </xf>
    <xf numFmtId="171" fontId="4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1" fontId="49" fillId="0" borderId="10" xfId="0" applyNumberFormat="1" applyFont="1" applyFill="1" applyBorder="1" applyAlignment="1" applyProtection="1">
      <alignment horizontal="right" vertical="center" wrapText="1" indent="1"/>
      <protection/>
    </xf>
    <xf numFmtId="171" fontId="4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1" fontId="48" fillId="0" borderId="10" xfId="0" applyNumberFormat="1" applyFont="1" applyFill="1" applyBorder="1" applyAlignment="1" applyProtection="1">
      <alignment horizontal="right" vertical="center" wrapText="1" indent="1"/>
      <protection/>
    </xf>
    <xf numFmtId="171" fontId="45" fillId="0" borderId="10" xfId="0" applyNumberFormat="1" applyFont="1" applyFill="1" applyBorder="1" applyAlignment="1" applyProtection="1">
      <alignment horizontal="right" vertical="center" indent="1"/>
      <protection/>
    </xf>
    <xf numFmtId="43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43" fontId="46" fillId="0" borderId="0" xfId="0" applyNumberFormat="1" applyFont="1" applyFill="1" applyAlignment="1">
      <alignment/>
    </xf>
    <xf numFmtId="4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45" fillId="0" borderId="10" xfId="0" applyNumberFormat="1" applyFont="1" applyFill="1" applyBorder="1" applyAlignment="1">
      <alignment horizontal="left" wrapText="1"/>
    </xf>
    <xf numFmtId="43" fontId="46" fillId="0" borderId="10" xfId="0" applyNumberFormat="1" applyFont="1" applyFill="1" applyBorder="1" applyAlignment="1">
      <alignment horizontal="left" wrapText="1"/>
    </xf>
    <xf numFmtId="43" fontId="46" fillId="0" borderId="10" xfId="0" applyNumberFormat="1" applyFont="1" applyFill="1" applyBorder="1" applyAlignment="1" applyProtection="1">
      <alignment horizontal="left" wrapText="1"/>
      <protection locked="0"/>
    </xf>
    <xf numFmtId="43" fontId="46" fillId="0" borderId="0" xfId="0" applyNumberFormat="1" applyFont="1" applyFill="1" applyAlignment="1" applyProtection="1">
      <alignment/>
      <protection locked="0"/>
    </xf>
    <xf numFmtId="43" fontId="46" fillId="0" borderId="10" xfId="54" applyNumberFormat="1" applyFont="1" applyFill="1" applyBorder="1" applyAlignment="1">
      <alignment horizontal="left" wrapText="1"/>
      <protection/>
    </xf>
    <xf numFmtId="43" fontId="45" fillId="0" borderId="10" xfId="0" applyNumberFormat="1" applyFont="1" applyFill="1" applyBorder="1" applyAlignment="1">
      <alignment horizontal="left"/>
    </xf>
    <xf numFmtId="43" fontId="45" fillId="0" borderId="0" xfId="0" applyNumberFormat="1" applyFont="1" applyFill="1" applyAlignment="1">
      <alignment horizontal="left"/>
    </xf>
    <xf numFmtId="43" fontId="46" fillId="0" borderId="0" xfId="0" applyNumberFormat="1" applyFont="1" applyFill="1" applyAlignment="1">
      <alignment horizontal="left"/>
    </xf>
    <xf numFmtId="175" fontId="21" fillId="0" borderId="32" xfId="57" applyFont="1" applyBorder="1" applyAlignment="1">
      <alignment horizontal="center"/>
      <protection/>
    </xf>
    <xf numFmtId="175" fontId="30" fillId="0" borderId="18" xfId="57" applyBorder="1" applyAlignment="1">
      <alignment horizontal="center"/>
      <protection/>
    </xf>
    <xf numFmtId="0" fontId="39" fillId="32" borderId="0" xfId="55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12" fillId="32" borderId="0" xfId="0" applyFont="1" applyFill="1" applyBorder="1" applyAlignment="1">
      <alignment horizontal="left" vertical="top" wrapText="1"/>
    </xf>
    <xf numFmtId="43" fontId="28" fillId="0" borderId="0" xfId="55" applyNumberFormat="1" applyFont="1" applyBorder="1" applyAlignment="1">
      <alignment horizontal="left"/>
      <protection/>
    </xf>
    <xf numFmtId="43" fontId="21" fillId="0" borderId="0" xfId="55" applyNumberFormat="1" applyFont="1" applyBorder="1" applyAlignment="1">
      <alignment horizontal="left"/>
      <protection/>
    </xf>
    <xf numFmtId="171" fontId="21" fillId="0" borderId="10" xfId="55" applyNumberFormat="1" applyFont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5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 applyProtection="1">
      <alignment horizontal="right" vertical="center" wrapText="1" indent="1"/>
      <protection/>
    </xf>
    <xf numFmtId="0" fontId="48" fillId="0" borderId="10" xfId="0" applyFont="1" applyFill="1" applyBorder="1" applyAlignment="1" applyProtection="1">
      <alignment horizontal="right" vertical="center" wrapText="1" indent="1"/>
      <protection locked="0"/>
    </xf>
    <xf numFmtId="0" fontId="49" fillId="0" borderId="10" xfId="0" applyFont="1" applyFill="1" applyBorder="1" applyAlignment="1" applyProtection="1">
      <alignment horizontal="right" vertical="center" wrapText="1" indent="1"/>
      <protection locked="0"/>
    </xf>
    <xf numFmtId="3" fontId="4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10" xfId="0" applyFont="1" applyFill="1" applyBorder="1" applyAlignment="1" applyProtection="1">
      <alignment horizontal="right" vertical="center" wrapText="1" indent="1"/>
      <protection/>
    </xf>
    <xf numFmtId="0" fontId="45" fillId="0" borderId="10" xfId="0" applyFont="1" applyFill="1" applyBorder="1" applyAlignment="1">
      <alignment horizontal="left"/>
    </xf>
    <xf numFmtId="3" fontId="49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48" fillId="0" borderId="10" xfId="0" applyNumberFormat="1" applyFont="1" applyFill="1" applyBorder="1" applyAlignment="1" applyProtection="1">
      <alignment horizontal="right" vertical="center" indent="1"/>
      <protection locked="0"/>
    </xf>
  </cellXfs>
  <cellStyles count="55">
    <cellStyle name="Normal" xfId="0"/>
    <cellStyle name="=D:\WINNT\SYSTEM32\COMMAND.COM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raport roczny_final" xfId="53"/>
    <cellStyle name="Normalny_capitals movement 30.06.02" xfId="54"/>
    <cellStyle name="Normalny_sa_q_jedn_kraj" xfId="55"/>
    <cellStyle name="Normalny_sa_r_99zbior" xfId="56"/>
    <cellStyle name="Normalny_SA-QS I kw.200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Tekst 85"/>
        <xdr:cNvSpPr txBox="1">
          <a:spLocks noChangeArrowheads="1"/>
        </xdr:cNvSpPr>
      </xdr:nvSpPr>
      <xdr:spPr>
        <a:xfrm>
          <a:off x="0" y="962025"/>
          <a:ext cx="507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133350</xdr:rowOff>
    </xdr:from>
    <xdr:to>
      <xdr:col>0</xdr:col>
      <xdr:colOff>2181225</xdr:colOff>
      <xdr:row>0</xdr:row>
      <xdr:rowOff>819150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1876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11</xdr:row>
      <xdr:rowOff>0</xdr:rowOff>
    </xdr:from>
    <xdr:to>
      <xdr:col>20</xdr:col>
      <xdr:colOff>304800</xdr:colOff>
      <xdr:row>16</xdr:row>
      <xdr:rowOff>85725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24050"/>
          <a:ext cx="6000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471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Tekst 30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Tekst 3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Tekst 3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Tekst 3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Tekst 39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Tekst 4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Tekst 4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Tekst 44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Tekst 45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Tekst 7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0</xdr:col>
      <xdr:colOff>1276350</xdr:colOff>
      <xdr:row>28</xdr:row>
      <xdr:rowOff>123825</xdr:rowOff>
    </xdr:from>
    <xdr:ext cx="44005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276350" y="4695825"/>
          <a:ext cx="440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" name="Tekst 30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8" name="Tekst 3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" name="Tekst 3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0" name="Tekst 39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1" name="Tekst 4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2" name="Tekst 4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3" name="Tekst 44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4" name="Tekst 45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5" name="Tekst 7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39</xdr:row>
      <xdr:rowOff>0</xdr:rowOff>
    </xdr:from>
    <xdr:to>
      <xdr:col>20</xdr:col>
      <xdr:colOff>304800</xdr:colOff>
      <xdr:row>44</xdr:row>
      <xdr:rowOff>28575</xdr:rowOff>
    </xdr:to>
    <xdr:pic>
      <xdr:nvPicPr>
        <xdr:cNvPr id="36" name="Rysunek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87875" y="6524625"/>
          <a:ext cx="6000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7" name="Tekst 30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8" name="Tekst 3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9" name="Tekst 3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0" name="Tekst 3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1" name="Tekst 39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2" name="Tekst 4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3" name="Tekst 4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4" name="Tekst 44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5" name="Tekst 45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6" name="Tekst 7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3</xdr:col>
      <xdr:colOff>1276350</xdr:colOff>
      <xdr:row>945</xdr:row>
      <xdr:rowOff>142875</xdr:rowOff>
    </xdr:from>
    <xdr:ext cx="4371975" cy="257175"/>
    <xdr:sp fLocksText="0">
      <xdr:nvSpPr>
        <xdr:cNvPr id="47" name="Text Box 47"/>
        <xdr:cNvSpPr txBox="1">
          <a:spLocks noChangeArrowheads="1"/>
        </xdr:cNvSpPr>
      </xdr:nvSpPr>
      <xdr:spPr>
        <a:xfrm>
          <a:off x="7029450" y="91878150"/>
          <a:ext cx="437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9525</xdr:colOff>
      <xdr:row>944</xdr:row>
      <xdr:rowOff>28575</xdr:rowOff>
    </xdr:from>
    <xdr:ext cx="5657850" cy="2781300"/>
    <xdr:sp>
      <xdr:nvSpPr>
        <xdr:cNvPr id="48" name="Text Box 48"/>
        <xdr:cNvSpPr txBox="1">
          <a:spLocks noChangeArrowheads="1"/>
        </xdr:cNvSpPr>
      </xdr:nvSpPr>
      <xdr:spPr>
        <a:xfrm>
          <a:off x="9525" y="91601925"/>
          <a:ext cx="56578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ujęte / odwrócone w 2002 i 2001 roku dotyczyły: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należności - wartość odpisów aktualizujących należności utworzonych i odwróconych została przedstawiona w notach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7.C.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Utworzenie odpisów nastąpiło głównie w wyniku pogorszenia się struktury wiekowej należności oraz pogorszenia sytuacji finansowej dłużników. Odwrócenie odpisów aktualizujących należności nastąpiło głównie z powodu spłaty należności objętych odpisem;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zapasów – odpisy aktualizujące zapasy utworzone / odwrócone w 2002 i 2001 roku nie wystąpiły w istotnych kwotach;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długoterminowych aktywów finansowych – odpisy aktualizujące długoterminowe aktywa finansowe utworzone w 2001 roku, dotyczyły akcji Instalu Poznań i wyniosły</a:t>
          </a: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7.906 tys. zł. Odpisy aktualizujące odwrócone w 2002 i 2001 roku nie wystąpiły w istotnych kwotach. Utworzenie odpisów aktualizujących nastąpiło w wyniku zaistnienia prawdopodobieństwa, że posiadane przez Spółkę akcje/ udziały nie przyniosą w przyszłości przewidywanych korzyści ekonomicznych.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9</xdr:col>
      <xdr:colOff>1257300</xdr:colOff>
      <xdr:row>8</xdr:row>
      <xdr:rowOff>0</xdr:rowOff>
    </xdr:from>
    <xdr:to>
      <xdr:col>17</xdr:col>
      <xdr:colOff>304800</xdr:colOff>
      <xdr:row>12</xdr:row>
      <xdr:rowOff>66675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295400"/>
          <a:ext cx="60007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361</xdr:row>
      <xdr:rowOff>85725</xdr:rowOff>
    </xdr:from>
    <xdr:to>
      <xdr:col>2</xdr:col>
      <xdr:colOff>1076325</xdr:colOff>
      <xdr:row>369</xdr:row>
      <xdr:rowOff>66675</xdr:rowOff>
    </xdr:to>
    <xdr:sp>
      <xdr:nvSpPr>
        <xdr:cNvPr id="1" name="Tekst 44"/>
        <xdr:cNvSpPr txBox="1">
          <a:spLocks noChangeArrowheads="1"/>
        </xdr:cNvSpPr>
      </xdr:nvSpPr>
      <xdr:spPr>
        <a:xfrm>
          <a:off x="9525" y="51025425"/>
          <a:ext cx="62674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Sprawozdanie finansowe Budimex S.A. za rok kończący się dnia 31 grudnia 2001 zostało zatwierdzone na Zwyczajnym Walnym Zgromadzeniu Akcjonariuszy w dniu 20 czerwca 2002 roku. Podjęto uchwałę, że zysk za rok 2001 w kwocie 3.697.238,46 złotych zostanie przeznaczony w całości na kapitał zapasowy.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dnia sporządzenia niniejszego sprawozdania finansowego za rok obrotowy kończący się 31 grudnia 2002 roku Spółka nie podjęła uchwały w sprawie podziału zysku. Zarząd Spółki proponuje przeznaczyć zysk netto za rok 2002 w kwocie 810 tysięcy złotych na kapitał zapasowy.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875" defaultRowHeight="12.75"/>
  <cols>
    <col min="1" max="7" width="7.875" style="558" customWidth="1"/>
    <col min="8" max="8" width="8.75390625" style="558" customWidth="1"/>
    <col min="9" max="16384" width="7.875" style="558" customWidth="1"/>
  </cols>
  <sheetData>
    <row r="1" ht="12.75">
      <c r="A1" s="557" t="s">
        <v>917</v>
      </c>
    </row>
    <row r="2" ht="12.75">
      <c r="A2" s="559"/>
    </row>
    <row r="3" ht="12.75">
      <c r="A3" s="559" t="s">
        <v>918</v>
      </c>
    </row>
    <row r="4" spans="1:2" ht="12.75">
      <c r="A4" s="559"/>
      <c r="B4" s="558" t="s">
        <v>919</v>
      </c>
    </row>
    <row r="5" ht="12.75">
      <c r="A5" s="559"/>
    </row>
    <row r="6" s="559" customFormat="1" ht="12.75">
      <c r="A6" s="559" t="s">
        <v>920</v>
      </c>
    </row>
    <row r="7" ht="12.75">
      <c r="B7" s="558" t="s">
        <v>271</v>
      </c>
    </row>
    <row r="9" s="559" customFormat="1" ht="12.75">
      <c r="A9" s="559" t="s">
        <v>93</v>
      </c>
    </row>
    <row r="10" spans="1:2" ht="12.75">
      <c r="A10" s="558">
        <v>1</v>
      </c>
      <c r="B10" s="558" t="s">
        <v>798</v>
      </c>
    </row>
    <row r="11" spans="1:2" ht="12.75">
      <c r="A11" s="558">
        <f>A10+1</f>
        <v>2</v>
      </c>
      <c r="B11" s="558" t="s">
        <v>272</v>
      </c>
    </row>
    <row r="12" spans="1:2" ht="12.75">
      <c r="A12" s="558">
        <f>A11+1</f>
        <v>3</v>
      </c>
      <c r="B12" s="558" t="s">
        <v>273</v>
      </c>
    </row>
    <row r="13" spans="1:2" ht="12.75">
      <c r="A13" s="558">
        <f>A12+1</f>
        <v>4</v>
      </c>
      <c r="B13" s="558" t="s">
        <v>274</v>
      </c>
    </row>
    <row r="14" spans="1:2" ht="12.75">
      <c r="A14" s="558">
        <f>A13+1</f>
        <v>5</v>
      </c>
      <c r="B14" s="558" t="s">
        <v>162</v>
      </c>
    </row>
    <row r="15" ht="12.75">
      <c r="D15" s="558" t="s">
        <v>161</v>
      </c>
    </row>
    <row r="16" spans="1:2" ht="12.75">
      <c r="A16" s="558">
        <f>A14+1</f>
        <v>6</v>
      </c>
      <c r="B16" s="558" t="s">
        <v>94</v>
      </c>
    </row>
    <row r="17" spans="1:2" ht="12.75">
      <c r="A17" s="558">
        <f aca="true" t="shared" si="0" ref="A17:A26">A16+1</f>
        <v>7</v>
      </c>
      <c r="B17" s="558" t="s">
        <v>163</v>
      </c>
    </row>
    <row r="18" spans="1:2" ht="12.75">
      <c r="A18" s="558">
        <f t="shared" si="0"/>
        <v>8</v>
      </c>
      <c r="B18" s="558" t="s">
        <v>164</v>
      </c>
    </row>
    <row r="19" spans="1:2" ht="12.75">
      <c r="A19" s="558">
        <f t="shared" si="0"/>
        <v>9</v>
      </c>
      <c r="B19" s="558" t="s">
        <v>751</v>
      </c>
    </row>
    <row r="20" spans="1:2" ht="12.75">
      <c r="A20" s="558">
        <f t="shared" si="0"/>
        <v>10</v>
      </c>
      <c r="B20" s="558" t="s">
        <v>245</v>
      </c>
    </row>
    <row r="21" spans="1:2" ht="12.75">
      <c r="A21" s="558">
        <f t="shared" si="0"/>
        <v>11</v>
      </c>
      <c r="B21" s="558" t="s">
        <v>288</v>
      </c>
    </row>
    <row r="22" spans="1:2" ht="12.75">
      <c r="A22" s="558">
        <f t="shared" si="0"/>
        <v>12</v>
      </c>
      <c r="B22" s="558" t="s">
        <v>629</v>
      </c>
    </row>
    <row r="23" spans="1:2" ht="12.75">
      <c r="A23" s="558">
        <f t="shared" si="0"/>
        <v>13</v>
      </c>
      <c r="B23" s="558" t="s">
        <v>630</v>
      </c>
    </row>
    <row r="24" spans="1:2" ht="12.75">
      <c r="A24" s="558">
        <f t="shared" si="0"/>
        <v>14</v>
      </c>
      <c r="B24" s="558" t="s">
        <v>631</v>
      </c>
    </row>
    <row r="25" spans="1:2" ht="12.75">
      <c r="A25" s="558">
        <f t="shared" si="0"/>
        <v>15</v>
      </c>
      <c r="B25" s="558" t="s">
        <v>671</v>
      </c>
    </row>
    <row r="26" spans="1:2" ht="12.75">
      <c r="A26" s="558">
        <f t="shared" si="0"/>
        <v>16</v>
      </c>
      <c r="B26" s="558" t="s">
        <v>622</v>
      </c>
    </row>
    <row r="29" ht="12.75">
      <c r="A29" s="559" t="s">
        <v>833</v>
      </c>
    </row>
    <row r="31" spans="1:2" ht="12.75">
      <c r="A31" s="558">
        <v>1</v>
      </c>
      <c r="B31" s="558" t="s">
        <v>276</v>
      </c>
    </row>
    <row r="34" s="559" customFormat="1" ht="12.75">
      <c r="A34" s="559" t="s">
        <v>278</v>
      </c>
    </row>
    <row r="35" spans="1:2" ht="12.75">
      <c r="A35" s="558">
        <v>1</v>
      </c>
      <c r="B35" s="558" t="s">
        <v>899</v>
      </c>
    </row>
    <row r="36" spans="1:2" ht="12.75">
      <c r="A36" s="558">
        <f>A35+1</f>
        <v>2</v>
      </c>
      <c r="B36" s="558" t="s">
        <v>275</v>
      </c>
    </row>
    <row r="37" spans="1:2" ht="12.75">
      <c r="A37" s="558">
        <f>A36+1</f>
        <v>3</v>
      </c>
      <c r="B37" s="558" t="s">
        <v>165</v>
      </c>
    </row>
    <row r="38" spans="1:2" ht="12.75">
      <c r="A38" s="558">
        <f>A37+1</f>
        <v>4</v>
      </c>
      <c r="B38" s="558" t="s">
        <v>166</v>
      </c>
    </row>
    <row r="39" spans="1:2" ht="12.75">
      <c r="A39" s="558">
        <f>A38+1</f>
        <v>5</v>
      </c>
      <c r="B39" s="558" t="s">
        <v>898</v>
      </c>
    </row>
    <row r="42" ht="12.75">
      <c r="A42" s="559" t="s">
        <v>279</v>
      </c>
    </row>
    <row r="43" spans="1:2" ht="12.75">
      <c r="A43" s="558">
        <v>1</v>
      </c>
      <c r="B43" s="558" t="s">
        <v>126</v>
      </c>
    </row>
    <row r="46" ht="12.75">
      <c r="A46" s="559" t="s">
        <v>280</v>
      </c>
    </row>
    <row r="47" spans="1:2" ht="12.75">
      <c r="A47" s="558">
        <v>1</v>
      </c>
      <c r="B47" s="558" t="s">
        <v>289</v>
      </c>
    </row>
    <row r="48" spans="1:2" ht="12.75">
      <c r="A48" s="558">
        <f aca="true" t="shared" si="1" ref="A48:A54">A47+1</f>
        <v>2</v>
      </c>
      <c r="B48" s="558" t="s">
        <v>127</v>
      </c>
    </row>
    <row r="49" spans="1:2" ht="12.75">
      <c r="A49" s="558">
        <f t="shared" si="1"/>
        <v>3</v>
      </c>
      <c r="B49" s="558" t="s">
        <v>128</v>
      </c>
    </row>
    <row r="50" spans="1:2" ht="12.75">
      <c r="A50" s="558">
        <f t="shared" si="1"/>
        <v>4</v>
      </c>
      <c r="B50" s="558" t="s">
        <v>169</v>
      </c>
    </row>
    <row r="51" spans="1:2" ht="12.75">
      <c r="A51" s="558">
        <f t="shared" si="1"/>
        <v>5</v>
      </c>
      <c r="B51" s="558" t="s">
        <v>672</v>
      </c>
    </row>
    <row r="52" spans="1:2" ht="12.75">
      <c r="A52" s="558">
        <f t="shared" si="1"/>
        <v>6</v>
      </c>
      <c r="B52" s="558" t="s">
        <v>281</v>
      </c>
    </row>
    <row r="53" spans="1:2" ht="12.75">
      <c r="A53" s="558">
        <f t="shared" si="1"/>
        <v>7</v>
      </c>
      <c r="B53" s="558" t="s">
        <v>170</v>
      </c>
    </row>
    <row r="54" spans="1:2" ht="12.75">
      <c r="A54" s="558">
        <f t="shared" si="1"/>
        <v>8</v>
      </c>
      <c r="B54" s="558" t="s">
        <v>122</v>
      </c>
    </row>
    <row r="56" ht="12.75">
      <c r="A56" s="560"/>
    </row>
  </sheetData>
  <sheetProtection/>
  <printOptions gridLines="1"/>
  <pageMargins left="0.5905511811023623" right="0.5905511811023623" top="0.5905511811023623" bottom="0.5905511811023623" header="0.31496062992125984" footer="0.31496062992125984"/>
  <pageSetup fitToHeight="1" fitToWidth="1" orientation="portrait" paperSize="9" r:id="rId1"/>
  <headerFooter alignWithMargins="0">
    <oddHeader>&amp;LBUDIMEX SA&amp;CSA-R 2004</oddHeader>
    <oddFooter>&amp;CKomisja Papierów Wartościowych i Giełd&amp;R&amp;P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75390625" style="0" bestFit="1" customWidth="1"/>
  </cols>
  <sheetData>
    <row r="1" spans="2:3" ht="12.75">
      <c r="B1" s="583">
        <v>2004</v>
      </c>
      <c r="C1" s="583">
        <v>2003</v>
      </c>
    </row>
    <row r="2" spans="1:3" ht="12.75">
      <c r="A2" t="s">
        <v>639</v>
      </c>
      <c r="B2" t="e">
        <f>#REF!</f>
        <v>#REF!</v>
      </c>
      <c r="C2" t="e">
        <f>#REF!</f>
        <v>#REF!</v>
      </c>
    </row>
    <row r="3" spans="1:3" ht="12.75">
      <c r="A3" t="s">
        <v>640</v>
      </c>
      <c r="B3" t="e">
        <f>#REF!-#REF!</f>
        <v>#REF!</v>
      </c>
      <c r="C3" t="e">
        <f>#REF!-#REF!</f>
        <v>#REF!</v>
      </c>
    </row>
    <row r="4" spans="1:8" ht="12.75">
      <c r="A4" t="s">
        <v>641</v>
      </c>
      <c r="B4" s="21" t="e">
        <f>'Budimex SA'!#REF!</f>
        <v>#REF!</v>
      </c>
      <c r="C4" s="21" t="e">
        <f>'Budimex SA'!#REF!</f>
        <v>#REF!</v>
      </c>
      <c r="D4" s="21"/>
      <c r="F4" t="s">
        <v>88</v>
      </c>
      <c r="G4" s="21" t="e">
        <f>#REF!</f>
        <v>#REF!</v>
      </c>
      <c r="H4" s="21" t="e">
        <f>#REF!</f>
        <v>#REF!</v>
      </c>
    </row>
    <row r="5" spans="1:8" ht="12.75">
      <c r="A5" t="s">
        <v>642</v>
      </c>
      <c r="B5" s="21" t="e">
        <f>#REF!</f>
        <v>#REF!</v>
      </c>
      <c r="C5" s="21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s">
        <v>942</v>
      </c>
      <c r="B6" s="21" t="e">
        <f>#REF!</f>
        <v>#REF!</v>
      </c>
      <c r="C6" s="21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s">
        <v>19</v>
      </c>
      <c r="B7" s="21" t="e">
        <f>#REF!</f>
        <v>#REF!</v>
      </c>
      <c r="C7" s="21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s">
        <v>250</v>
      </c>
      <c r="B8" t="e">
        <f>#REF!</f>
        <v>#REF!</v>
      </c>
      <c r="C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s">
        <v>945</v>
      </c>
      <c r="B9" t="e">
        <f>#REF!</f>
        <v>#REF!</v>
      </c>
      <c r="C9" t="e">
        <f>#REF!</f>
        <v>#REF!</v>
      </c>
      <c r="F9" s="21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s">
        <v>102</v>
      </c>
      <c r="B10" t="e">
        <f>#REF!</f>
        <v>#REF!</v>
      </c>
      <c r="C10" t="e">
        <f>#REF!</f>
        <v>#REF!</v>
      </c>
      <c r="F10" s="21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s">
        <v>473</v>
      </c>
      <c r="B11" t="e">
        <f>#REF!</f>
        <v>#REF!</v>
      </c>
      <c r="C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s">
        <v>510</v>
      </c>
      <c r="B12" t="e">
        <f>#REF!</f>
        <v>#REF!</v>
      </c>
      <c r="C12" t="e">
        <f>#REF!</f>
        <v>#REF!</v>
      </c>
      <c r="F12" t="e">
        <f>#REF!</f>
        <v>#REF!</v>
      </c>
      <c r="G12" s="21" t="e">
        <f>#REF!</f>
        <v>#REF!</v>
      </c>
      <c r="H12" s="21" t="e">
        <f>#REF!</f>
        <v>#REF!</v>
      </c>
    </row>
    <row r="13" spans="1:8" ht="12.75">
      <c r="A13" t="s">
        <v>510</v>
      </c>
      <c r="B13" t="e">
        <f>#REF!</f>
        <v>#REF!</v>
      </c>
      <c r="C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s">
        <v>474</v>
      </c>
      <c r="B14" t="e">
        <f>#REF!</f>
        <v>#REF!</v>
      </c>
      <c r="C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s">
        <v>511</v>
      </c>
      <c r="B15" t="e">
        <f>#REF!</f>
        <v>#REF!</v>
      </c>
      <c r="C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s">
        <v>512</v>
      </c>
      <c r="B16" t="e">
        <f>#REF!</f>
        <v>#REF!</v>
      </c>
      <c r="C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s">
        <v>257</v>
      </c>
      <c r="B17" t="e">
        <f>#REF!</f>
        <v>#REF!</v>
      </c>
      <c r="C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s">
        <v>103</v>
      </c>
      <c r="B18" s="21" t="e">
        <f>#REF!</f>
        <v>#REF!</v>
      </c>
      <c r="C18" s="21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s">
        <v>768</v>
      </c>
      <c r="B19" t="e">
        <f>#REF!</f>
        <v>#REF!</v>
      </c>
      <c r="C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s">
        <v>770</v>
      </c>
      <c r="B20" t="e">
        <f>#REF!</f>
        <v>#REF!</v>
      </c>
      <c r="C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s">
        <v>771</v>
      </c>
      <c r="B21" t="e">
        <f>#REF!</f>
        <v>#REF!</v>
      </c>
      <c r="C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s">
        <v>772</v>
      </c>
      <c r="B22" t="e">
        <f>#REF!</f>
        <v>#REF!</v>
      </c>
      <c r="C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s">
        <v>791</v>
      </c>
      <c r="B23" t="e">
        <f>#REF!</f>
        <v>#REF!</v>
      </c>
      <c r="C23" t="e">
        <f>#REF!</f>
        <v>#REF!</v>
      </c>
      <c r="G23" t="e">
        <f>#REF!</f>
        <v>#REF!</v>
      </c>
      <c r="H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0.25390625" defaultRowHeight="12.75"/>
  <cols>
    <col min="1" max="1" width="57.125" style="584" customWidth="1"/>
    <col min="2" max="5" width="15.00390625" style="584" customWidth="1"/>
    <col min="6" max="16384" width="10.25390625" style="584" customWidth="1"/>
  </cols>
  <sheetData>
    <row r="1" spans="2:5" ht="12.75">
      <c r="B1" s="617" t="s">
        <v>383</v>
      </c>
      <c r="C1" s="618"/>
      <c r="D1" s="617" t="s">
        <v>384</v>
      </c>
      <c r="E1" s="618"/>
    </row>
    <row r="2" spans="1:5" ht="49.5" customHeight="1">
      <c r="A2" s="585" t="s">
        <v>340</v>
      </c>
      <c r="B2" s="586" t="s">
        <v>341</v>
      </c>
      <c r="C2" s="586" t="s">
        <v>342</v>
      </c>
      <c r="D2" s="586" t="str">
        <f>B2</f>
        <v>rok 2004</v>
      </c>
      <c r="E2" s="586" t="str">
        <f>C2</f>
        <v>rok 2003</v>
      </c>
    </row>
    <row r="3" spans="1:5" ht="13.5" customHeight="1">
      <c r="A3" s="587" t="s">
        <v>343</v>
      </c>
      <c r="B3" s="588" t="e">
        <f>#REF!</f>
        <v>#REF!</v>
      </c>
      <c r="C3" s="588" t="e">
        <f>#REF!</f>
        <v>#REF!</v>
      </c>
      <c r="D3" s="588" t="e">
        <f aca="true" t="shared" si="0" ref="D3:D10">ROUND(B3/$B$25,0)</f>
        <v>#REF!</v>
      </c>
      <c r="E3" s="588" t="e">
        <f aca="true" t="shared" si="1" ref="E3:E10">ROUND(C3/$C$25,0)</f>
        <v>#REF!</v>
      </c>
    </row>
    <row r="4" spans="1:5" ht="13.5" customHeight="1">
      <c r="A4" s="589" t="s">
        <v>344</v>
      </c>
      <c r="B4" s="588" t="e">
        <f>#REF!</f>
        <v>#REF!</v>
      </c>
      <c r="C4" s="588" t="e">
        <f>#REF!</f>
        <v>#REF!</v>
      </c>
      <c r="D4" s="590" t="e">
        <f t="shared" si="0"/>
        <v>#REF!</v>
      </c>
      <c r="E4" s="590" t="e">
        <f t="shared" si="1"/>
        <v>#REF!</v>
      </c>
    </row>
    <row r="5" spans="1:5" ht="13.5" customHeight="1">
      <c r="A5" s="587" t="s">
        <v>392</v>
      </c>
      <c r="B5" s="588" t="e">
        <f>#REF!</f>
        <v>#REF!</v>
      </c>
      <c r="C5" s="588" t="e">
        <f>#REF!</f>
        <v>#REF!</v>
      </c>
      <c r="D5" s="590" t="e">
        <f t="shared" si="0"/>
        <v>#REF!</v>
      </c>
      <c r="E5" s="590" t="e">
        <f t="shared" si="1"/>
        <v>#REF!</v>
      </c>
    </row>
    <row r="6" spans="1:5" ht="13.5" customHeight="1">
      <c r="A6" s="587" t="s">
        <v>393</v>
      </c>
      <c r="B6" s="588" t="e">
        <f>#REF!</f>
        <v>#REF!</v>
      </c>
      <c r="C6" s="588" t="e">
        <f>#REF!</f>
        <v>#REF!</v>
      </c>
      <c r="D6" s="590" t="e">
        <f t="shared" si="0"/>
        <v>#REF!</v>
      </c>
      <c r="E6" s="590" t="e">
        <f t="shared" si="1"/>
        <v>#REF!</v>
      </c>
    </row>
    <row r="7" spans="1:5" ht="13.5" customHeight="1">
      <c r="A7" s="587" t="s">
        <v>394</v>
      </c>
      <c r="B7" s="588" t="e">
        <f>#REF!</f>
        <v>#REF!</v>
      </c>
      <c r="C7" s="588" t="e">
        <f>#REF!</f>
        <v>#REF!</v>
      </c>
      <c r="D7" s="590" t="e">
        <f t="shared" si="0"/>
        <v>#REF!</v>
      </c>
      <c r="E7" s="590" t="e">
        <f t="shared" si="1"/>
        <v>#REF!</v>
      </c>
    </row>
    <row r="8" spans="1:5" ht="13.5" customHeight="1">
      <c r="A8" s="587" t="s">
        <v>587</v>
      </c>
      <c r="B8" s="588" t="e">
        <f>#REF!</f>
        <v>#REF!</v>
      </c>
      <c r="C8" s="588" t="e">
        <f>#REF!</f>
        <v>#REF!</v>
      </c>
      <c r="D8" s="590" t="e">
        <f t="shared" si="0"/>
        <v>#REF!</v>
      </c>
      <c r="E8" s="590" t="e">
        <f t="shared" si="1"/>
        <v>#REF!</v>
      </c>
    </row>
    <row r="9" spans="1:5" ht="13.5" customHeight="1">
      <c r="A9" s="587" t="s">
        <v>588</v>
      </c>
      <c r="B9" s="588" t="e">
        <f>#REF!</f>
        <v>#REF!</v>
      </c>
      <c r="C9" s="588" t="e">
        <f>#REF!</f>
        <v>#REF!</v>
      </c>
      <c r="D9" s="590" t="e">
        <f t="shared" si="0"/>
        <v>#REF!</v>
      </c>
      <c r="E9" s="590" t="e">
        <f t="shared" si="1"/>
        <v>#REF!</v>
      </c>
    </row>
    <row r="10" spans="1:5" ht="13.5" customHeight="1">
      <c r="A10" s="587" t="s">
        <v>589</v>
      </c>
      <c r="B10" s="588" t="e">
        <f>#REF!</f>
        <v>#REF!</v>
      </c>
      <c r="C10" s="588" t="e">
        <f>#REF!</f>
        <v>#REF!</v>
      </c>
      <c r="D10" s="590" t="e">
        <f t="shared" si="0"/>
        <v>#REF!</v>
      </c>
      <c r="E10" s="590" t="e">
        <f t="shared" si="1"/>
        <v>#REF!</v>
      </c>
    </row>
    <row r="11" spans="1:5" ht="13.5" customHeight="1">
      <c r="A11" s="587" t="s">
        <v>590</v>
      </c>
      <c r="B11" s="590" t="e">
        <f>#REF!</f>
        <v>#REF!</v>
      </c>
      <c r="C11" s="590" t="e">
        <f>#REF!</f>
        <v>#REF!</v>
      </c>
      <c r="D11" s="590" t="e">
        <f aca="true" t="shared" si="2" ref="D11:D16">ROUND(B11/$B$24,0)</f>
        <v>#REF!</v>
      </c>
      <c r="E11" s="590" t="e">
        <f aca="true" t="shared" si="3" ref="E11:E16">ROUND(C11/$C$24,0)</f>
        <v>#REF!</v>
      </c>
    </row>
    <row r="12" spans="1:5" ht="13.5" customHeight="1">
      <c r="A12" s="587" t="s">
        <v>591</v>
      </c>
      <c r="B12" s="590" t="e">
        <f>#REF!</f>
        <v>#REF!</v>
      </c>
      <c r="C12" s="590" t="e">
        <f>#REF!</f>
        <v>#REF!</v>
      </c>
      <c r="D12" s="590" t="e">
        <f t="shared" si="2"/>
        <v>#REF!</v>
      </c>
      <c r="E12" s="590" t="e">
        <f t="shared" si="3"/>
        <v>#REF!</v>
      </c>
    </row>
    <row r="13" spans="1:5" ht="13.5" customHeight="1">
      <c r="A13" s="587" t="s">
        <v>592</v>
      </c>
      <c r="B13" s="590" t="e">
        <f>#REF!</f>
        <v>#REF!</v>
      </c>
      <c r="C13" s="590" t="e">
        <f>#REF!</f>
        <v>#REF!</v>
      </c>
      <c r="D13" s="590" t="e">
        <f t="shared" si="2"/>
        <v>#REF!</v>
      </c>
      <c r="E13" s="590" t="e">
        <f t="shared" si="3"/>
        <v>#REF!</v>
      </c>
    </row>
    <row r="14" spans="1:5" ht="13.5" customHeight="1">
      <c r="A14" s="587" t="s">
        <v>593</v>
      </c>
      <c r="B14" s="590" t="e">
        <f>#REF!</f>
        <v>#REF!</v>
      </c>
      <c r="C14" s="590" t="e">
        <f>#REF!</f>
        <v>#REF!</v>
      </c>
      <c r="D14" s="590" t="e">
        <f t="shared" si="2"/>
        <v>#REF!</v>
      </c>
      <c r="E14" s="590" t="e">
        <f t="shared" si="3"/>
        <v>#REF!</v>
      </c>
    </row>
    <row r="15" spans="1:5" ht="13.5" customHeight="1">
      <c r="A15" s="587" t="s">
        <v>594</v>
      </c>
      <c r="B15" s="588" t="e">
        <f>#REF!</f>
        <v>#REF!</v>
      </c>
      <c r="C15" s="588" t="e">
        <f>#REF!</f>
        <v>#REF!</v>
      </c>
      <c r="D15" s="590" t="e">
        <f t="shared" si="2"/>
        <v>#REF!</v>
      </c>
      <c r="E15" s="590" t="e">
        <f t="shared" si="3"/>
        <v>#REF!</v>
      </c>
    </row>
    <row r="16" spans="1:5" ht="13.5" customHeight="1">
      <c r="A16" s="587" t="s">
        <v>595</v>
      </c>
      <c r="B16" s="588" t="e">
        <f>#REF!</f>
        <v>#REF!</v>
      </c>
      <c r="C16" s="588" t="e">
        <f>#REF!</f>
        <v>#REF!</v>
      </c>
      <c r="D16" s="590" t="e">
        <f t="shared" si="2"/>
        <v>#REF!</v>
      </c>
      <c r="E16" s="590" t="e">
        <f t="shared" si="3"/>
        <v>#REF!</v>
      </c>
    </row>
    <row r="17" spans="1:5" ht="13.5" customHeight="1">
      <c r="A17" s="587" t="s">
        <v>192</v>
      </c>
      <c r="B17" s="587">
        <v>25530098</v>
      </c>
      <c r="C17" s="587">
        <v>25530098</v>
      </c>
      <c r="D17" s="589">
        <v>25530098</v>
      </c>
      <c r="E17" s="589">
        <v>25530098</v>
      </c>
    </row>
    <row r="18" spans="1:5" ht="13.5" customHeight="1">
      <c r="A18" s="587" t="s">
        <v>616</v>
      </c>
      <c r="B18" s="591" t="e">
        <f>#REF!</f>
        <v>#REF!</v>
      </c>
      <c r="C18" s="591" t="e">
        <f>#REF!</f>
        <v>#REF!</v>
      </c>
      <c r="D18" s="592" t="e">
        <f>ROUND(B18/$B$25,2)</f>
        <v>#REF!</v>
      </c>
      <c r="E18" s="592" t="e">
        <f>ROUND(C18/$C$25,2)</f>
        <v>#REF!</v>
      </c>
    </row>
    <row r="19" spans="1:5" ht="13.5" customHeight="1">
      <c r="A19" s="587" t="s">
        <v>108</v>
      </c>
      <c r="B19" s="593"/>
      <c r="C19" s="593"/>
      <c r="D19" s="593"/>
      <c r="E19" s="593"/>
    </row>
    <row r="20" spans="1:5" ht="13.5" customHeight="1">
      <c r="A20" s="587" t="s">
        <v>109</v>
      </c>
      <c r="B20" s="591" t="e">
        <f>#REF!</f>
        <v>#REF!</v>
      </c>
      <c r="C20" s="591" t="e">
        <f>#REF!</f>
        <v>#REF!</v>
      </c>
      <c r="D20" s="591" t="e">
        <f>ROUND(B20/$B$24,2)</f>
        <v>#REF!</v>
      </c>
      <c r="E20" s="591" t="e">
        <f>ROUND(C20/$C$24,2)</f>
        <v>#REF!</v>
      </c>
    </row>
    <row r="21" spans="1:5" ht="13.5" customHeight="1">
      <c r="A21" s="587" t="s">
        <v>110</v>
      </c>
      <c r="B21" s="593"/>
      <c r="C21" s="593"/>
      <c r="D21" s="593"/>
      <c r="E21" s="593"/>
    </row>
    <row r="22" spans="1:5" ht="13.5" customHeight="1">
      <c r="A22" s="587" t="s">
        <v>111</v>
      </c>
      <c r="B22" s="588">
        <v>0</v>
      </c>
      <c r="C22" s="588">
        <v>0</v>
      </c>
      <c r="D22" s="588">
        <v>0</v>
      </c>
      <c r="E22" s="588">
        <v>0</v>
      </c>
    </row>
    <row r="24" spans="1:3" ht="12.75">
      <c r="A24" s="594" t="s">
        <v>112</v>
      </c>
      <c r="B24" s="595">
        <v>4.079</v>
      </c>
      <c r="C24" s="595">
        <v>4.717</v>
      </c>
    </row>
    <row r="25" spans="1:3" ht="12.75">
      <c r="A25" s="594" t="s">
        <v>596</v>
      </c>
      <c r="B25" s="595">
        <v>4.5182</v>
      </c>
      <c r="C25" s="595">
        <v>4.4474</v>
      </c>
    </row>
    <row r="27" spans="1:4" ht="12.75">
      <c r="A27" s="596"/>
      <c r="B27" s="596"/>
      <c r="C27" s="596"/>
      <c r="D27" s="596"/>
    </row>
  </sheetData>
  <sheetProtection/>
  <mergeCells count="2">
    <mergeCell ref="B1:C1"/>
    <mergeCell ref="D1:E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82" r:id="rId1"/>
  <headerFooter alignWithMargins="0">
    <oddHeader>&amp;L&amp;8GRUPA BUDIMEX
&amp;C&amp;8SA-RS 2004&amp;R&amp;8w tys. zł.</oddHeader>
    <oddFooter>&amp;C&amp;8Komisja Papierów Wartościowych i Giełd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6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56" sqref="A56:IV56"/>
      <selection pane="topRight" activeCell="A56" sqref="A56:IV56"/>
      <selection pane="bottomLeft" activeCell="A56" sqref="A56:IV56"/>
      <selection pane="bottomRight" activeCell="E29" sqref="E29"/>
    </sheetView>
  </sheetViews>
  <sheetFormatPr defaultColWidth="7.875" defaultRowHeight="12.75"/>
  <cols>
    <col min="1" max="1" width="66.625" style="616" customWidth="1"/>
    <col min="2" max="3" width="10.625" style="607" bestFit="1" customWidth="1"/>
    <col min="4" max="4" width="7.875" style="607" customWidth="1"/>
    <col min="5" max="5" width="59.625" style="607" customWidth="1"/>
    <col min="6" max="6" width="52.25390625" style="607" bestFit="1" customWidth="1"/>
    <col min="7" max="7" width="16.25390625" style="607" customWidth="1"/>
    <col min="8" max="8" width="21.125" style="607" customWidth="1"/>
    <col min="9" max="16384" width="7.875" style="607" customWidth="1"/>
  </cols>
  <sheetData>
    <row r="1" ht="75.75" customHeight="1"/>
    <row r="2" spans="1:3" ht="21">
      <c r="A2" s="597" t="s">
        <v>997</v>
      </c>
      <c r="B2" s="608" t="s">
        <v>983</v>
      </c>
      <c r="C2" s="608" t="s">
        <v>984</v>
      </c>
    </row>
    <row r="3" spans="1:3" ht="18.75" customHeight="1">
      <c r="A3" s="609" t="s">
        <v>985</v>
      </c>
      <c r="B3" s="600">
        <v>692960</v>
      </c>
      <c r="C3" s="600">
        <v>642735</v>
      </c>
    </row>
    <row r="4" spans="1:3" ht="12" customHeight="1">
      <c r="A4" s="610" t="s">
        <v>966</v>
      </c>
      <c r="B4" s="601" t="s">
        <v>967</v>
      </c>
      <c r="C4" s="601" t="s">
        <v>967</v>
      </c>
    </row>
    <row r="5" spans="1:3" ht="12" customHeight="1">
      <c r="A5" s="610" t="s">
        <v>968</v>
      </c>
      <c r="B5" s="601">
        <v>-147636</v>
      </c>
      <c r="C5" s="601" t="s">
        <v>967</v>
      </c>
    </row>
    <row r="6" spans="1:3" ht="21">
      <c r="A6" s="609" t="s">
        <v>986</v>
      </c>
      <c r="B6" s="603">
        <v>545324</v>
      </c>
      <c r="C6" s="603">
        <v>642735</v>
      </c>
    </row>
    <row r="7" spans="1:3" ht="12" customHeight="1">
      <c r="A7" s="609" t="s">
        <v>987</v>
      </c>
      <c r="B7" s="604">
        <v>127650</v>
      </c>
      <c r="C7" s="604">
        <v>127650</v>
      </c>
    </row>
    <row r="8" spans="1:3" ht="12" customHeight="1">
      <c r="A8" s="610" t="s">
        <v>969</v>
      </c>
      <c r="B8" s="602" t="s">
        <v>967</v>
      </c>
      <c r="C8" s="602" t="s">
        <v>967</v>
      </c>
    </row>
    <row r="9" spans="1:3" ht="12" customHeight="1">
      <c r="A9" s="610" t="s">
        <v>970</v>
      </c>
      <c r="B9" s="601" t="s">
        <v>967</v>
      </c>
      <c r="C9" s="601" t="s">
        <v>967</v>
      </c>
    </row>
    <row r="10" spans="1:3" ht="12" customHeight="1">
      <c r="A10" s="610" t="s">
        <v>971</v>
      </c>
      <c r="B10" s="601" t="s">
        <v>967</v>
      </c>
      <c r="C10" s="601" t="s">
        <v>967</v>
      </c>
    </row>
    <row r="11" spans="1:3" ht="12" customHeight="1">
      <c r="A11" s="609" t="s">
        <v>988</v>
      </c>
      <c r="B11" s="603">
        <v>127650</v>
      </c>
      <c r="C11" s="603">
        <v>127650</v>
      </c>
    </row>
    <row r="12" spans="1:3" ht="12" customHeight="1">
      <c r="A12" s="609" t="s">
        <v>989</v>
      </c>
      <c r="B12" s="604" t="s">
        <v>972</v>
      </c>
      <c r="C12" s="604" t="s">
        <v>990</v>
      </c>
    </row>
    <row r="13" spans="1:3" ht="13.5" customHeight="1">
      <c r="A13" s="610" t="s">
        <v>973</v>
      </c>
      <c r="B13" s="602" t="s">
        <v>967</v>
      </c>
      <c r="C13" s="602" t="s">
        <v>967</v>
      </c>
    </row>
    <row r="14" spans="1:3" ht="12" customHeight="1">
      <c r="A14" s="610" t="s">
        <v>970</v>
      </c>
      <c r="B14" s="601" t="s">
        <v>967</v>
      </c>
      <c r="C14" s="601" t="s">
        <v>967</v>
      </c>
    </row>
    <row r="15" spans="1:3" ht="12" customHeight="1">
      <c r="A15" s="610" t="s">
        <v>971</v>
      </c>
      <c r="B15" s="601" t="s">
        <v>967</v>
      </c>
      <c r="C15" s="601" t="s">
        <v>967</v>
      </c>
    </row>
    <row r="16" spans="1:3" ht="10.5">
      <c r="A16" s="599" t="s">
        <v>991</v>
      </c>
      <c r="B16" s="603" t="s">
        <v>967</v>
      </c>
      <c r="C16" s="603" t="s">
        <v>967</v>
      </c>
    </row>
    <row r="17" spans="1:3" ht="12" customHeight="1">
      <c r="A17" s="609" t="s">
        <v>992</v>
      </c>
      <c r="B17" s="604" t="s">
        <v>974</v>
      </c>
      <c r="C17" s="604" t="s">
        <v>990</v>
      </c>
    </row>
    <row r="18" spans="1:3" ht="12" customHeight="1">
      <c r="A18" s="613" t="s">
        <v>975</v>
      </c>
      <c r="B18" s="602" t="s">
        <v>967</v>
      </c>
      <c r="C18" s="602" t="s">
        <v>967</v>
      </c>
    </row>
    <row r="19" spans="1:3" s="612" customFormat="1" ht="12" customHeight="1">
      <c r="A19" s="611" t="s">
        <v>976</v>
      </c>
      <c r="B19" s="601" t="s">
        <v>967</v>
      </c>
      <c r="C19" s="601" t="s">
        <v>967</v>
      </c>
    </row>
    <row r="20" spans="1:3" s="612" customFormat="1" ht="12" customHeight="1">
      <c r="A20" s="611" t="s">
        <v>977</v>
      </c>
      <c r="B20" s="601" t="s">
        <v>967</v>
      </c>
      <c r="C20" s="601" t="s">
        <v>967</v>
      </c>
    </row>
    <row r="21" spans="1:3" ht="12" customHeight="1">
      <c r="A21" s="609" t="s">
        <v>993</v>
      </c>
      <c r="B21" s="603" t="s">
        <v>967</v>
      </c>
      <c r="C21" s="603" t="s">
        <v>967</v>
      </c>
    </row>
    <row r="22" spans="1:3" ht="12" customHeight="1">
      <c r="A22" s="609" t="s">
        <v>994</v>
      </c>
      <c r="B22" s="600">
        <v>280845</v>
      </c>
      <c r="C22" s="600">
        <v>285349</v>
      </c>
    </row>
    <row r="23" spans="1:3" ht="12" customHeight="1">
      <c r="A23" s="610" t="s">
        <v>978</v>
      </c>
      <c r="B23" s="601">
        <v>1725</v>
      </c>
      <c r="C23" s="601">
        <v>-4504</v>
      </c>
    </row>
    <row r="24" spans="1:3" ht="12" customHeight="1">
      <c r="A24" s="610" t="s">
        <v>970</v>
      </c>
      <c r="B24" s="602">
        <v>1725</v>
      </c>
      <c r="C24" s="602">
        <v>1027</v>
      </c>
    </row>
    <row r="25" spans="1:3" s="612" customFormat="1" ht="12.75" customHeight="1">
      <c r="A25" s="606" t="s">
        <v>979</v>
      </c>
      <c r="B25" s="602">
        <v>303</v>
      </c>
      <c r="C25" s="602" t="s">
        <v>967</v>
      </c>
    </row>
    <row r="26" spans="1:3" ht="12" customHeight="1">
      <c r="A26" s="610" t="s">
        <v>980</v>
      </c>
      <c r="B26" s="601">
        <v>1422</v>
      </c>
      <c r="C26" s="601">
        <v>1027</v>
      </c>
    </row>
    <row r="27" spans="1:3" s="612" customFormat="1" ht="12" customHeight="1">
      <c r="A27" s="606" t="s">
        <v>971</v>
      </c>
      <c r="B27" s="601" t="s">
        <v>967</v>
      </c>
      <c r="C27" s="601">
        <v>-5531</v>
      </c>
    </row>
    <row r="28" spans="1:3" s="612" customFormat="1" ht="12" customHeight="1">
      <c r="A28" s="606" t="s">
        <v>290</v>
      </c>
      <c r="B28" s="602" t="s">
        <v>967</v>
      </c>
      <c r="C28" s="602">
        <v>-5531</v>
      </c>
    </row>
    <row r="29" spans="1:3" ht="12" customHeight="1">
      <c r="A29" s="609" t="s">
        <v>995</v>
      </c>
      <c r="B29" s="603">
        <v>282570</v>
      </c>
      <c r="C29" s="603">
        <v>280845</v>
      </c>
    </row>
    <row r="30" spans="1:3" ht="12" customHeight="1">
      <c r="A30" s="609" t="s">
        <v>996</v>
      </c>
      <c r="B30" s="600">
        <v>4097</v>
      </c>
      <c r="C30" s="600">
        <v>3453</v>
      </c>
    </row>
    <row r="31" spans="1:3" ht="12" customHeight="1">
      <c r="A31" s="610" t="s">
        <v>981</v>
      </c>
      <c r="B31" s="602">
        <v>1839</v>
      </c>
      <c r="C31" s="602">
        <v>644</v>
      </c>
    </row>
    <row r="32" spans="1:3" ht="12" customHeight="1">
      <c r="A32" s="610" t="s">
        <v>970</v>
      </c>
      <c r="B32" s="601">
        <v>1839</v>
      </c>
      <c r="C32" s="601">
        <v>644</v>
      </c>
    </row>
    <row r="33" spans="1:3" s="612" customFormat="1" ht="12" customHeight="1">
      <c r="A33" s="605" t="s">
        <v>982</v>
      </c>
      <c r="B33" s="602">
        <v>62</v>
      </c>
      <c r="C33" s="602">
        <v>644</v>
      </c>
    </row>
    <row r="34" spans="1:3" s="612" customFormat="1" ht="21">
      <c r="A34" s="605" t="s">
        <v>998</v>
      </c>
      <c r="B34" s="602">
        <v>1777</v>
      </c>
      <c r="C34" s="602" t="s">
        <v>967</v>
      </c>
    </row>
    <row r="35" spans="1:3" ht="12" customHeight="1">
      <c r="A35" s="610" t="s">
        <v>999</v>
      </c>
      <c r="B35" s="601">
        <v>0</v>
      </c>
      <c r="C35" s="601" t="s">
        <v>967</v>
      </c>
    </row>
    <row r="36" spans="1:3" ht="12" customHeight="1">
      <c r="A36" s="609" t="s">
        <v>1002</v>
      </c>
      <c r="B36" s="603">
        <v>5936</v>
      </c>
      <c r="C36" s="603">
        <v>4097</v>
      </c>
    </row>
    <row r="37" spans="1:3" ht="12" customHeight="1">
      <c r="A37" s="609" t="s">
        <v>1003</v>
      </c>
      <c r="B37" s="600" t="s">
        <v>990</v>
      </c>
      <c r="C37" s="600" t="s">
        <v>990</v>
      </c>
    </row>
    <row r="38" spans="1:3" ht="12" customHeight="1">
      <c r="A38" s="610" t="s">
        <v>1000</v>
      </c>
      <c r="B38" s="602" t="s">
        <v>967</v>
      </c>
      <c r="C38" s="602" t="s">
        <v>967</v>
      </c>
    </row>
    <row r="39" spans="1:3" ht="12" customHeight="1">
      <c r="A39" s="610" t="s">
        <v>970</v>
      </c>
      <c r="B39" s="601" t="s">
        <v>967</v>
      </c>
      <c r="C39" s="601" t="s">
        <v>967</v>
      </c>
    </row>
    <row r="40" spans="1:3" ht="12" customHeight="1">
      <c r="A40" s="610" t="s">
        <v>1001</v>
      </c>
      <c r="B40" s="601" t="s">
        <v>967</v>
      </c>
      <c r="C40" s="601" t="s">
        <v>967</v>
      </c>
    </row>
    <row r="41" spans="1:3" ht="12" customHeight="1">
      <c r="A41" s="609" t="s">
        <v>1004</v>
      </c>
      <c r="B41" s="603" t="s">
        <v>967</v>
      </c>
      <c r="C41" s="603" t="s">
        <v>967</v>
      </c>
    </row>
    <row r="42" spans="1:3" ht="12" customHeight="1">
      <c r="A42" s="614" t="s">
        <v>1005</v>
      </c>
      <c r="B42" s="603">
        <v>280368</v>
      </c>
      <c r="C42" s="603">
        <v>226283</v>
      </c>
    </row>
    <row r="43" spans="1:3" ht="12" customHeight="1">
      <c r="A43" s="609" t="s">
        <v>1006</v>
      </c>
      <c r="B43" s="603">
        <v>280368</v>
      </c>
      <c r="C43" s="600">
        <v>226283</v>
      </c>
    </row>
    <row r="44" spans="1:3" ht="12" customHeight="1">
      <c r="A44" s="599" t="s">
        <v>1007</v>
      </c>
      <c r="B44" s="600">
        <v>280368</v>
      </c>
      <c r="C44" s="600">
        <v>226283</v>
      </c>
    </row>
    <row r="45" spans="1:3" ht="12" customHeight="1">
      <c r="A45" s="598" t="s">
        <v>970</v>
      </c>
      <c r="B45" s="602" t="s">
        <v>967</v>
      </c>
      <c r="C45" s="602" t="s">
        <v>967</v>
      </c>
    </row>
    <row r="46" spans="1:3" ht="10.5">
      <c r="A46" s="610" t="s">
        <v>971</v>
      </c>
      <c r="B46" s="601">
        <v>-280368</v>
      </c>
      <c r="C46" s="601">
        <v>-226283</v>
      </c>
    </row>
    <row r="47" spans="1:3" ht="10.5">
      <c r="A47" s="625" t="s">
        <v>1009</v>
      </c>
      <c r="B47" s="601">
        <v>-303</v>
      </c>
      <c r="C47" s="601" t="s">
        <v>967</v>
      </c>
    </row>
    <row r="48" spans="1:3" s="612" customFormat="1" ht="12" customHeight="1">
      <c r="A48" s="626" t="s">
        <v>1008</v>
      </c>
      <c r="B48" s="602">
        <v>-280065</v>
      </c>
      <c r="C48" s="602">
        <v>-226283</v>
      </c>
    </row>
    <row r="49" spans="1:3" ht="12" customHeight="1">
      <c r="A49" s="627" t="s">
        <v>1016</v>
      </c>
      <c r="B49" s="628" t="s">
        <v>967</v>
      </c>
      <c r="C49" s="628" t="s">
        <v>967</v>
      </c>
    </row>
    <row r="50" spans="1:3" ht="12" customHeight="1">
      <c r="A50" s="627" t="s">
        <v>1017</v>
      </c>
      <c r="B50" s="629" t="s">
        <v>967</v>
      </c>
      <c r="C50" s="629" t="s">
        <v>967</v>
      </c>
    </row>
    <row r="51" spans="1:3" ht="12" customHeight="1">
      <c r="A51" s="625" t="s">
        <v>1018</v>
      </c>
      <c r="B51" s="630"/>
      <c r="C51" s="630"/>
    </row>
    <row r="52" spans="1:3" ht="12" customHeight="1">
      <c r="A52" s="625" t="s">
        <v>1010</v>
      </c>
      <c r="B52" s="630" t="s">
        <v>1011</v>
      </c>
      <c r="C52" s="630" t="s">
        <v>967</v>
      </c>
    </row>
    <row r="53" spans="1:3" ht="10.5">
      <c r="A53" s="627" t="s">
        <v>1019</v>
      </c>
      <c r="B53" s="603">
        <v>-147636</v>
      </c>
      <c r="C53" s="628" t="s">
        <v>967</v>
      </c>
    </row>
    <row r="54" spans="1:3" ht="12" customHeight="1">
      <c r="A54" s="625" t="s">
        <v>1020</v>
      </c>
      <c r="B54" s="632" t="s">
        <v>967</v>
      </c>
      <c r="C54" s="632" t="s">
        <v>967</v>
      </c>
    </row>
    <row r="55" spans="1:3" ht="12" customHeight="1">
      <c r="A55" s="625" t="s">
        <v>1012</v>
      </c>
      <c r="B55" s="632" t="s">
        <v>967</v>
      </c>
      <c r="C55" s="632" t="s">
        <v>967</v>
      </c>
    </row>
    <row r="56" spans="1:3" ht="12" customHeight="1">
      <c r="A56" s="627" t="s">
        <v>1021</v>
      </c>
      <c r="B56" s="603">
        <v>-147636</v>
      </c>
      <c r="C56" s="628" t="s">
        <v>967</v>
      </c>
    </row>
    <row r="57" spans="1:3" ht="12" customHeight="1">
      <c r="A57" s="633" t="s">
        <v>1022</v>
      </c>
      <c r="B57" s="603">
        <v>-147636</v>
      </c>
      <c r="C57" s="628" t="s">
        <v>967</v>
      </c>
    </row>
    <row r="58" spans="1:3" ht="12" customHeight="1">
      <c r="A58" s="627" t="s">
        <v>1023</v>
      </c>
      <c r="B58" s="631">
        <v>112249</v>
      </c>
      <c r="C58" s="631">
        <v>132732</v>
      </c>
    </row>
    <row r="59" spans="1:3" ht="12" customHeight="1">
      <c r="A59" s="625" t="s">
        <v>1013</v>
      </c>
      <c r="B59" s="634">
        <v>112249</v>
      </c>
      <c r="C59" s="634">
        <v>132732</v>
      </c>
    </row>
    <row r="60" spans="1:3" ht="12" customHeight="1">
      <c r="A60" s="625" t="s">
        <v>1014</v>
      </c>
      <c r="B60" s="632" t="s">
        <v>967</v>
      </c>
      <c r="C60" s="632" t="s">
        <v>967</v>
      </c>
    </row>
    <row r="61" spans="1:3" ht="12" customHeight="1">
      <c r="A61" s="625" t="s">
        <v>1015</v>
      </c>
      <c r="B61" s="630" t="s">
        <v>967</v>
      </c>
      <c r="C61" s="630" t="s">
        <v>967</v>
      </c>
    </row>
    <row r="62" spans="1:3" ht="12" customHeight="1">
      <c r="A62" s="627" t="s">
        <v>1024</v>
      </c>
      <c r="B62" s="631">
        <v>380769</v>
      </c>
      <c r="C62" s="631">
        <v>545324</v>
      </c>
    </row>
    <row r="63" spans="1:3" ht="21">
      <c r="A63" s="627" t="s">
        <v>1025</v>
      </c>
      <c r="B63" s="635">
        <v>380769</v>
      </c>
      <c r="C63" s="635">
        <v>545324</v>
      </c>
    </row>
    <row r="64" ht="12" customHeight="1">
      <c r="A64" s="615"/>
    </row>
    <row r="65" ht="10.5">
      <c r="A65" s="615"/>
    </row>
    <row r="66" ht="10.5">
      <c r="A66" s="615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blackAndWhite="1" fitToHeight="0" fitToWidth="1" horizontalDpi="300" verticalDpi="300" orientation="portrait" paperSize="9" scale="21" r:id="rId2"/>
  <headerFooter alignWithMargins="0">
    <oddHeader>&amp;L&amp;"Times New Roman,Normalny"Budimex SA&amp;C&amp;"Times New Roman,Normalny"SA-R 2011&amp;R&amp;"Times New Roman,Normalny"in PLN thousands</oddHeader>
    <oddFooter>&amp;C&amp;"Times New Roman,Normalny"Polish Financial Supervision Authority&amp;R&amp;"Times New Roman,Normalny"&amp;9 &amp;11 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949"/>
  <sheetViews>
    <sheetView view="pageBreakPreview" zoomScaleSheetLayoutView="100" zoomScalePageLayoutView="0" workbookViewId="0" topLeftCell="A441">
      <selection activeCell="B399" sqref="B399"/>
    </sheetView>
  </sheetViews>
  <sheetFormatPr defaultColWidth="7.875" defaultRowHeight="12.75"/>
  <cols>
    <col min="1" max="1" width="52.75390625" style="74" customWidth="1"/>
    <col min="2" max="2" width="12.00390625" style="69" customWidth="1"/>
    <col min="3" max="3" width="10.75390625" style="70" customWidth="1"/>
    <col min="4" max="4" width="39.00390625" style="70" customWidth="1"/>
    <col min="5" max="5" width="10.375" style="70" customWidth="1"/>
    <col min="6" max="6" width="15.75390625" style="70" customWidth="1"/>
    <col min="7" max="7" width="11.75390625" style="70" customWidth="1"/>
    <col min="8" max="8" width="9.375" style="70" customWidth="1"/>
    <col min="9" max="9" width="15.25390625" style="70" customWidth="1"/>
    <col min="10" max="10" width="9.375" style="70" customWidth="1"/>
    <col min="11" max="12" width="12.00390625" style="70" customWidth="1"/>
    <col min="13" max="13" width="21.25390625" style="70" customWidth="1"/>
    <col min="14" max="14" width="11.375" style="70" customWidth="1"/>
    <col min="15" max="15" width="7.875" style="70" customWidth="1"/>
    <col min="16" max="16" width="10.00390625" style="70" customWidth="1"/>
    <col min="17" max="17" width="11.375" style="70" customWidth="1"/>
    <col min="18" max="18" width="7.875" style="70" customWidth="1"/>
    <col min="19" max="19" width="12.125" style="70" customWidth="1"/>
    <col min="20" max="20" width="9.375" style="70" customWidth="1"/>
    <col min="21" max="21" width="7.00390625" style="70" customWidth="1"/>
    <col min="22" max="22" width="15.125" style="70" customWidth="1"/>
    <col min="23" max="23" width="9.875" style="70" customWidth="1"/>
    <col min="24" max="24" width="7.875" style="70" customWidth="1"/>
    <col min="25" max="25" width="13.125" style="70" customWidth="1"/>
    <col min="26" max="26" width="10.00390625" style="70" customWidth="1"/>
    <col min="27" max="28" width="10.375" style="70" customWidth="1"/>
    <col min="29" max="29" width="11.375" style="70" customWidth="1"/>
    <col min="30" max="30" width="8.375" style="70" customWidth="1"/>
    <col min="31" max="31" width="13.25390625" style="70" customWidth="1"/>
    <col min="32" max="32" width="7.875" style="70" customWidth="1"/>
    <col min="33" max="33" width="5.375" style="70" customWidth="1"/>
    <col min="34" max="34" width="15.875" style="70" customWidth="1"/>
    <col min="35" max="35" width="12.125" style="70" customWidth="1"/>
    <col min="36" max="36" width="21.00390625" style="70" customWidth="1"/>
    <col min="37" max="37" width="22.75390625" style="70" customWidth="1"/>
    <col min="38" max="91" width="7.875" style="70" customWidth="1"/>
    <col min="92" max="16384" width="7.875" style="71" customWidth="1"/>
  </cols>
  <sheetData>
    <row r="1" ht="16.5">
      <c r="A1" s="68" t="s">
        <v>486</v>
      </c>
    </row>
    <row r="3" ht="17.25" thickBot="1">
      <c r="A3" s="72" t="s">
        <v>941</v>
      </c>
    </row>
    <row r="4" spans="1:3" ht="15" customHeight="1">
      <c r="A4" s="281" t="s">
        <v>55</v>
      </c>
      <c r="B4" s="60" t="e">
        <f>#REF!</f>
        <v>#REF!</v>
      </c>
      <c r="C4" s="60" t="e">
        <f>#REF!</f>
        <v>#REF!</v>
      </c>
    </row>
    <row r="5" spans="1:3" ht="12.75">
      <c r="A5" s="202" t="s">
        <v>636</v>
      </c>
      <c r="B5" s="73" t="e">
        <f>#REF!</f>
        <v>#REF!</v>
      </c>
      <c r="C5" s="73">
        <v>0</v>
      </c>
    </row>
    <row r="6" spans="1:3" ht="12.75">
      <c r="A6" s="202" t="s">
        <v>637</v>
      </c>
      <c r="B6" s="73" t="e">
        <f>#REF!</f>
        <v>#REF!</v>
      </c>
      <c r="C6" s="73">
        <v>0</v>
      </c>
    </row>
    <row r="7" spans="1:3" ht="12.75">
      <c r="A7" s="202" t="s">
        <v>752</v>
      </c>
      <c r="B7" s="73" t="e">
        <f>#REF!</f>
        <v>#REF!</v>
      </c>
      <c r="C7" s="73">
        <v>1253</v>
      </c>
    </row>
    <row r="8" spans="1:3" ht="12.75">
      <c r="A8" s="203" t="s">
        <v>638</v>
      </c>
      <c r="B8" s="142" t="e">
        <f>#REF!</f>
        <v>#REF!</v>
      </c>
      <c r="C8" s="142">
        <v>1253</v>
      </c>
    </row>
    <row r="9" spans="1:3" ht="12.75">
      <c r="A9" s="204" t="s">
        <v>891</v>
      </c>
      <c r="B9" s="73" t="e">
        <f>#REF!</f>
        <v>#REF!</v>
      </c>
      <c r="C9" s="73">
        <v>0</v>
      </c>
    </row>
    <row r="10" spans="1:3" ht="12.75">
      <c r="A10" s="202" t="s">
        <v>753</v>
      </c>
      <c r="B10" s="73" t="e">
        <f>#REF!</f>
        <v>#REF!</v>
      </c>
      <c r="C10" s="73">
        <v>7349</v>
      </c>
    </row>
    <row r="11" spans="1:3" ht="13.5" thickBot="1">
      <c r="A11" s="205" t="s">
        <v>213</v>
      </c>
      <c r="B11" s="79" t="e">
        <f>SUM(B5:B10)-B8</f>
        <v>#REF!</v>
      </c>
      <c r="C11" s="79">
        <f>SUM(C5:C10)-C8</f>
        <v>8602</v>
      </c>
    </row>
    <row r="12" spans="2:3" ht="12.75">
      <c r="B12" s="75"/>
      <c r="C12" s="76"/>
    </row>
    <row r="13" spans="2:3" ht="12.75">
      <c r="B13" s="75"/>
      <c r="C13" s="76"/>
    </row>
    <row r="14" spans="1:3" ht="12.75">
      <c r="A14" s="577" t="s">
        <v>420</v>
      </c>
      <c r="B14" s="75"/>
      <c r="C14" s="76"/>
    </row>
    <row r="15" spans="2:3" ht="12.75">
      <c r="B15" s="75"/>
      <c r="C15" s="76"/>
    </row>
    <row r="16" spans="2:3" ht="12.75">
      <c r="B16" s="75"/>
      <c r="C16" s="76"/>
    </row>
    <row r="17" spans="2:3" ht="16.5" customHeight="1">
      <c r="B17" s="75"/>
      <c r="C17" s="76"/>
    </row>
    <row r="18" spans="1:3" ht="17.25" thickBot="1">
      <c r="A18" s="72" t="s">
        <v>942</v>
      </c>
      <c r="C18" s="77"/>
    </row>
    <row r="19" spans="1:3" ht="31.5" customHeight="1">
      <c r="A19" s="281" t="s">
        <v>568</v>
      </c>
      <c r="B19" s="60" t="e">
        <f>B4</f>
        <v>#REF!</v>
      </c>
      <c r="C19" s="60" t="e">
        <f>C4</f>
        <v>#REF!</v>
      </c>
    </row>
    <row r="20" spans="1:3" ht="12.75">
      <c r="A20" s="202" t="s">
        <v>569</v>
      </c>
      <c r="B20" s="73"/>
      <c r="C20" s="73">
        <f>2458-1204+7348</f>
        <v>8602</v>
      </c>
    </row>
    <row r="21" spans="1:3" ht="40.5" customHeight="1">
      <c r="A21" s="202" t="s">
        <v>666</v>
      </c>
      <c r="B21" s="73">
        <f>SUM(B22:B25)</f>
        <v>0</v>
      </c>
      <c r="C21" s="73">
        <f>SUM(C22:C25)</f>
        <v>0</v>
      </c>
    </row>
    <row r="22" spans="1:3" ht="12.75" hidden="1">
      <c r="A22" s="202" t="s">
        <v>268</v>
      </c>
      <c r="B22" s="73"/>
      <c r="C22" s="73"/>
    </row>
    <row r="23" spans="1:3" ht="12.75" hidden="1">
      <c r="A23" s="202" t="s">
        <v>667</v>
      </c>
      <c r="B23" s="73"/>
      <c r="C23" s="73"/>
    </row>
    <row r="24" spans="1:3" ht="12.75" hidden="1">
      <c r="A24" s="202" t="s">
        <v>667</v>
      </c>
      <c r="B24" s="73"/>
      <c r="C24" s="73"/>
    </row>
    <row r="25" spans="1:3" ht="12.75" hidden="1">
      <c r="A25" s="202" t="s">
        <v>667</v>
      </c>
      <c r="B25" s="73"/>
      <c r="C25" s="73"/>
    </row>
    <row r="26" spans="1:3" ht="13.5" thickBot="1">
      <c r="A26" s="205" t="s">
        <v>213</v>
      </c>
      <c r="B26" s="79">
        <f>B20+B21</f>
        <v>0</v>
      </c>
      <c r="C26" s="79">
        <f>C20+C21</f>
        <v>8602</v>
      </c>
    </row>
    <row r="27" spans="2:3" ht="12.75" hidden="1">
      <c r="B27" s="200" t="e">
        <f>IF(B26=B11,"OK","BŁĄD")</f>
        <v>#REF!</v>
      </c>
      <c r="C27" s="200" t="str">
        <f>IF(C26=C11,"OK","BŁĄD")</f>
        <v>OK</v>
      </c>
    </row>
    <row r="28" ht="12.75">
      <c r="B28" s="75"/>
    </row>
    <row r="29" spans="1:91" s="10" customFormat="1" ht="23.25" customHeight="1" thickBot="1">
      <c r="A29" s="11" t="s">
        <v>18</v>
      </c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:91" s="10" customFormat="1" ht="15" customHeight="1">
      <c r="A30" s="282" t="s">
        <v>668</v>
      </c>
      <c r="B30" s="60" t="e">
        <f>B4</f>
        <v>#REF!</v>
      </c>
      <c r="C30" s="60" t="e">
        <f>C4</f>
        <v>#REF!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:91" s="10" customFormat="1" ht="12.75">
      <c r="A31" s="207" t="s">
        <v>514</v>
      </c>
      <c r="B31" s="119" t="e">
        <f>SUM(B32:B36)</f>
        <v>#REF!</v>
      </c>
      <c r="C31" s="119">
        <f>SUM(C32:C36)</f>
        <v>5519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91" s="10" customFormat="1" ht="12.75" customHeight="1">
      <c r="A32" s="208" t="s">
        <v>922</v>
      </c>
      <c r="B32" s="59" t="e">
        <f>#REF!</f>
        <v>#REF!</v>
      </c>
      <c r="C32" s="59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91" s="10" customFormat="1" ht="12.75">
      <c r="A33" s="209" t="s">
        <v>287</v>
      </c>
      <c r="B33" s="59" t="e">
        <f>#REF!</f>
        <v>#REF!</v>
      </c>
      <c r="C33" s="59">
        <v>2130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s="10" customFormat="1" ht="12.75">
      <c r="A34" s="209" t="s">
        <v>759</v>
      </c>
      <c r="B34" s="59" t="e">
        <f>#REF!</f>
        <v>#REF!</v>
      </c>
      <c r="C34" s="59">
        <v>2105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:91" s="10" customFormat="1" ht="12.75">
      <c r="A35" s="209" t="s">
        <v>760</v>
      </c>
      <c r="B35" s="59" t="e">
        <f>#REF!</f>
        <v>#REF!</v>
      </c>
      <c r="C35" s="59">
        <v>875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:91" s="10" customFormat="1" ht="12.75">
      <c r="A36" s="209" t="s">
        <v>761</v>
      </c>
      <c r="B36" s="59" t="e">
        <f>#REF!</f>
        <v>#REF!</v>
      </c>
      <c r="C36" s="59">
        <v>409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</row>
    <row r="37" spans="1:91" s="10" customFormat="1" ht="12.75">
      <c r="A37" s="207" t="s">
        <v>762</v>
      </c>
      <c r="B37" s="117">
        <v>1503</v>
      </c>
      <c r="C37" s="117">
        <v>1503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:91" s="10" customFormat="1" ht="12.75">
      <c r="A38" s="207" t="s">
        <v>763</v>
      </c>
      <c r="B38" s="117">
        <v>0</v>
      </c>
      <c r="C38" s="117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</row>
    <row r="39" spans="1:91" s="10" customFormat="1" ht="13.5" thickBot="1">
      <c r="A39" s="210" t="s">
        <v>248</v>
      </c>
      <c r="B39" s="82" t="e">
        <f>B31+B37+B38</f>
        <v>#REF!</v>
      </c>
      <c r="C39" s="82">
        <f>C31+C37+C38</f>
        <v>7022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</row>
    <row r="40" spans="1:91" s="10" customFormat="1" ht="13.5" thickBot="1">
      <c r="A40" s="8"/>
      <c r="B40" s="78"/>
      <c r="C40" s="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5"/>
      <c r="P40" s="26"/>
      <c r="Q40" s="27"/>
      <c r="R40" s="27"/>
      <c r="S40" s="27"/>
      <c r="T40" s="27"/>
      <c r="U40" s="27"/>
      <c r="V40" s="2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</row>
    <row r="41" spans="1:91" s="10" customFormat="1" ht="12.75">
      <c r="A41" s="8"/>
      <c r="B41" s="78"/>
      <c r="C41" s="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29"/>
      <c r="Q41" s="29"/>
      <c r="R41" s="29"/>
      <c r="S41" s="29"/>
      <c r="T41" s="29"/>
      <c r="U41" s="29"/>
      <c r="V41" s="2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</row>
    <row r="42" spans="1:91" s="10" customFormat="1" ht="12.75">
      <c r="A42" s="577" t="s">
        <v>551</v>
      </c>
      <c r="B42" s="78"/>
      <c r="C42" s="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29"/>
      <c r="Q42" s="29"/>
      <c r="R42" s="29"/>
      <c r="S42" s="29"/>
      <c r="T42" s="29"/>
      <c r="U42" s="29"/>
      <c r="V42" s="2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</row>
    <row r="43" spans="1:91" s="10" customFormat="1" ht="12.75">
      <c r="A43" s="8"/>
      <c r="B43" s="78"/>
      <c r="C43" s="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29"/>
      <c r="Q43" s="29"/>
      <c r="R43" s="29"/>
      <c r="S43" s="29"/>
      <c r="T43" s="29"/>
      <c r="U43" s="29"/>
      <c r="V43" s="2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</row>
    <row r="44" spans="1:91" s="10" customFormat="1" ht="17.25" thickBot="1">
      <c r="A44" s="83" t="s">
        <v>19</v>
      </c>
      <c r="B44" s="24"/>
      <c r="C44" s="3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29"/>
      <c r="Q44" s="29"/>
      <c r="R44" s="29"/>
      <c r="S44" s="29"/>
      <c r="T44" s="29"/>
      <c r="U44" s="29"/>
      <c r="V44" s="2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91" s="10" customFormat="1" ht="15" customHeight="1">
      <c r="A45" s="282" t="s">
        <v>608</v>
      </c>
      <c r="B45" s="60" t="e">
        <f>B4</f>
        <v>#REF!</v>
      </c>
      <c r="C45" s="60" t="e">
        <f>C4</f>
        <v>#REF!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29"/>
      <c r="Q45" s="29"/>
      <c r="R45" s="29"/>
      <c r="S45" s="29"/>
      <c r="T45" s="29"/>
      <c r="U45" s="29"/>
      <c r="V45" s="2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</row>
    <row r="46" spans="1:91" s="10" customFormat="1" ht="12.75">
      <c r="A46" s="211" t="s">
        <v>569</v>
      </c>
      <c r="B46" s="80"/>
      <c r="C46" s="80">
        <v>5519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29"/>
      <c r="Q46" s="29"/>
      <c r="R46" s="29"/>
      <c r="S46" s="29"/>
      <c r="T46" s="29"/>
      <c r="U46" s="29"/>
      <c r="V46" s="2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</row>
    <row r="47" spans="1:91" s="10" customFormat="1" ht="24">
      <c r="A47" s="211" t="s">
        <v>666</v>
      </c>
      <c r="B47" s="81">
        <f>SUM(B48:B50)</f>
        <v>0</v>
      </c>
      <c r="C47" s="81">
        <f>SUM(C48:C50)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29"/>
      <c r="Q47" s="29"/>
      <c r="R47" s="29"/>
      <c r="S47" s="29"/>
      <c r="T47" s="29"/>
      <c r="U47" s="29"/>
      <c r="V47" s="2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1:91" s="10" customFormat="1" ht="12.75">
      <c r="A48" s="212" t="s">
        <v>402</v>
      </c>
      <c r="B48" s="81">
        <v>0</v>
      </c>
      <c r="C48" s="81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29"/>
      <c r="Q48" s="29"/>
      <c r="R48" s="29"/>
      <c r="S48" s="29"/>
      <c r="T48" s="29"/>
      <c r="U48" s="29"/>
      <c r="V48" s="2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</row>
    <row r="49" spans="1:91" s="10" customFormat="1" ht="12.75" hidden="1">
      <c r="A49" s="211" t="s">
        <v>667</v>
      </c>
      <c r="B49" s="81"/>
      <c r="C49" s="8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29"/>
      <c r="Q49" s="29"/>
      <c r="R49" s="29"/>
      <c r="S49" s="29"/>
      <c r="T49" s="29"/>
      <c r="U49" s="29"/>
      <c r="V49" s="2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</row>
    <row r="50" spans="1:91" s="10" customFormat="1" ht="12.75" hidden="1">
      <c r="A50" s="211" t="s">
        <v>667</v>
      </c>
      <c r="B50" s="81"/>
      <c r="C50" s="8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29"/>
      <c r="Q50" s="29"/>
      <c r="R50" s="29"/>
      <c r="S50" s="29"/>
      <c r="T50" s="29"/>
      <c r="U50" s="29"/>
      <c r="V50" s="2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</row>
    <row r="51" spans="1:91" s="10" customFormat="1" ht="18" customHeight="1" thickBot="1">
      <c r="A51" s="210" t="s">
        <v>86</v>
      </c>
      <c r="B51" s="82">
        <f>B46+B47</f>
        <v>0</v>
      </c>
      <c r="C51" s="82">
        <f>C46+C47</f>
        <v>5519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29"/>
      <c r="Q51" s="29"/>
      <c r="R51" s="29"/>
      <c r="S51" s="29"/>
      <c r="T51" s="29"/>
      <c r="U51" s="29"/>
      <c r="V51" s="2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</row>
    <row r="52" spans="1:91" s="10" customFormat="1" ht="12.75" hidden="1">
      <c r="A52" s="8"/>
      <c r="B52" s="200" t="e">
        <f>IF(B51=B31,"OK","BŁĄD")</f>
        <v>#REF!</v>
      </c>
      <c r="C52" s="200" t="str">
        <f>IF(C51=C31,"OK","BŁĄD")</f>
        <v>OK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29"/>
      <c r="Q52" s="29"/>
      <c r="R52" s="29"/>
      <c r="S52" s="29"/>
      <c r="T52" s="29"/>
      <c r="U52" s="29"/>
      <c r="V52" s="2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</row>
    <row r="53" spans="1:91" s="10" customFormat="1" ht="12.75">
      <c r="A53" s="8"/>
      <c r="B53" s="14"/>
      <c r="C53" s="3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</row>
    <row r="54" spans="1:91" s="10" customFormat="1" ht="12.75">
      <c r="A54" s="8"/>
      <c r="B54" s="14"/>
      <c r="C54" s="3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</row>
    <row r="55" spans="1:91" s="10" customFormat="1" ht="17.25" thickBot="1">
      <c r="A55" s="11" t="s">
        <v>685</v>
      </c>
      <c r="B55" s="24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</row>
    <row r="56" spans="1:91" s="10" customFormat="1" ht="15" customHeight="1">
      <c r="A56" s="282" t="s">
        <v>249</v>
      </c>
      <c r="B56" s="60" t="e">
        <f>B4</f>
        <v>#REF!</v>
      </c>
      <c r="C56" s="60" t="e">
        <f>C4</f>
        <v>#REF!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</row>
    <row r="57" spans="1:91" s="10" customFormat="1" ht="24">
      <c r="A57" s="211" t="s">
        <v>17</v>
      </c>
      <c r="B57" s="80">
        <f>SUM(B58:B59)</f>
        <v>0</v>
      </c>
      <c r="C57" s="80">
        <f>SUM(C58:C59)</f>
        <v>1932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</row>
    <row r="58" spans="1:91" s="10" customFormat="1" ht="12.75">
      <c r="A58" s="214" t="s">
        <v>404</v>
      </c>
      <c r="B58" s="81"/>
      <c r="C58" s="81">
        <v>1932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</row>
    <row r="59" spans="1:91" s="10" customFormat="1" ht="12.75">
      <c r="A59" s="213" t="s">
        <v>403</v>
      </c>
      <c r="B59" s="81">
        <v>0</v>
      </c>
      <c r="C59" s="81"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</row>
    <row r="60" spans="1:91" s="10" customFormat="1" ht="12.75" hidden="1">
      <c r="A60" s="214" t="s">
        <v>405</v>
      </c>
      <c r="B60" s="81"/>
      <c r="C60" s="8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</row>
    <row r="61" spans="1:91" s="10" customFormat="1" ht="12.75" hidden="1">
      <c r="A61" s="214" t="s">
        <v>582</v>
      </c>
      <c r="B61" s="81"/>
      <c r="C61" s="8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</row>
    <row r="62" spans="1:91" s="10" customFormat="1" ht="13.5" thickBot="1">
      <c r="A62" s="210" t="s">
        <v>921</v>
      </c>
      <c r="B62" s="82">
        <f>B57</f>
        <v>0</v>
      </c>
      <c r="C62" s="82">
        <f>C57</f>
        <v>1932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</row>
    <row r="63" spans="1:91" s="10" customFormat="1" ht="12.75">
      <c r="A63" s="8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</row>
    <row r="64" spans="1:91" s="10" customFormat="1" ht="12.75">
      <c r="A64" s="7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</row>
    <row r="65" spans="1:77" s="10" customFormat="1" ht="21.75" customHeight="1" thickBot="1">
      <c r="A65" s="1" t="s">
        <v>943</v>
      </c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s="10" customFormat="1" ht="15" customHeight="1">
      <c r="A66" s="282" t="s">
        <v>584</v>
      </c>
      <c r="B66" s="60" t="e">
        <f>B4</f>
        <v>#REF!</v>
      </c>
      <c r="C66" s="60" t="e">
        <f>C4</f>
        <v>#REF!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s="10" customFormat="1" ht="12.75" customHeight="1">
      <c r="A67" s="216" t="s">
        <v>52</v>
      </c>
      <c r="B67" s="113">
        <f>B68+B70+B72+B74+B76</f>
        <v>0</v>
      </c>
      <c r="C67" s="113">
        <f>C68+C70+C72+C74+C76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s="10" customFormat="1" ht="12.75" customHeight="1" hidden="1">
      <c r="A68" s="217" t="s">
        <v>885</v>
      </c>
      <c r="B68" s="59">
        <v>0</v>
      </c>
      <c r="C68" s="59"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s="10" customFormat="1" ht="12.75" customHeight="1" hidden="1">
      <c r="A69" s="217" t="s">
        <v>887</v>
      </c>
      <c r="B69" s="59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s="10" customFormat="1" ht="12.75" customHeight="1" hidden="1">
      <c r="A70" s="217" t="s">
        <v>483</v>
      </c>
      <c r="B70" s="59">
        <v>0</v>
      </c>
      <c r="C70" s="59"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s="10" customFormat="1" ht="12.75" customHeight="1" hidden="1">
      <c r="A71" s="217" t="s">
        <v>887</v>
      </c>
      <c r="B71" s="59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s="10" customFormat="1" ht="12.75" customHeight="1" hidden="1">
      <c r="A72" s="217" t="s">
        <v>484</v>
      </c>
      <c r="B72" s="59">
        <v>0</v>
      </c>
      <c r="C72" s="59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s="10" customFormat="1" ht="12.75" customHeight="1" hidden="1">
      <c r="A73" s="217" t="s">
        <v>887</v>
      </c>
      <c r="B73" s="59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s="10" customFormat="1" ht="12.75" customHeight="1" hidden="1">
      <c r="A74" s="217" t="s">
        <v>886</v>
      </c>
      <c r="B74" s="59">
        <v>0</v>
      </c>
      <c r="C74" s="59"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s="10" customFormat="1" ht="12.75" customHeight="1" hidden="1">
      <c r="A75" s="217" t="s">
        <v>887</v>
      </c>
      <c r="B75" s="59"/>
      <c r="C75" s="5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s="10" customFormat="1" ht="12.75" customHeight="1" hidden="1">
      <c r="A76" s="217" t="s">
        <v>482</v>
      </c>
      <c r="B76" s="59">
        <v>0</v>
      </c>
      <c r="C76" s="59"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s="10" customFormat="1" ht="12.75" customHeight="1" hidden="1">
      <c r="A77" s="217" t="s">
        <v>887</v>
      </c>
      <c r="B77" s="59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s="10" customFormat="1" ht="12.75" customHeight="1">
      <c r="A78" s="216" t="s">
        <v>197</v>
      </c>
      <c r="B78" s="113">
        <f>SUM(B79:B80)</f>
        <v>0</v>
      </c>
      <c r="C78" s="113">
        <f>SUM(C79:C80)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s="10" customFormat="1" ht="12.75" customHeight="1" hidden="1">
      <c r="A79" s="217" t="s">
        <v>652</v>
      </c>
      <c r="B79" s="59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s="10" customFormat="1" ht="12.75" customHeight="1" hidden="1">
      <c r="A80" s="217" t="s">
        <v>583</v>
      </c>
      <c r="B80" s="59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s="10" customFormat="1" ht="12.75" customHeight="1">
      <c r="A81" s="218" t="s">
        <v>585</v>
      </c>
      <c r="B81" s="116">
        <f>B67+B78</f>
        <v>0</v>
      </c>
      <c r="C81" s="116">
        <f>C67+C78</f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s="10" customFormat="1" ht="12.75" customHeight="1">
      <c r="A82" s="217" t="s">
        <v>485</v>
      </c>
      <c r="B82" s="59">
        <f>B118</f>
        <v>0</v>
      </c>
      <c r="C82" s="59">
        <f>C118</f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s="10" customFormat="1" ht="12.75" customHeight="1" thickBot="1">
      <c r="A83" s="219" t="s">
        <v>586</v>
      </c>
      <c r="B83" s="82">
        <f>SUM(B81:B82)</f>
        <v>0</v>
      </c>
      <c r="C83" s="82">
        <f>SUM(C81:C82)</f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s="10" customFormat="1" ht="15.75" customHeight="1">
      <c r="A84" s="22"/>
      <c r="B84" s="23"/>
      <c r="C84" s="3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s="10" customFormat="1" ht="18" customHeight="1" thickBot="1">
      <c r="A85" s="1" t="s">
        <v>250</v>
      </c>
      <c r="B85" s="12"/>
      <c r="C85" s="3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s="10" customFormat="1" ht="33" customHeight="1">
      <c r="A86" s="282" t="s">
        <v>853</v>
      </c>
      <c r="B86" s="60" t="e">
        <f>B4</f>
        <v>#REF!</v>
      </c>
      <c r="C86" s="60" t="e">
        <f>C4</f>
        <v>#REF!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10" customFormat="1" ht="12.75" customHeight="1">
      <c r="A87" s="216" t="s">
        <v>50</v>
      </c>
      <c r="B87" s="113">
        <v>0</v>
      </c>
      <c r="C87" s="113"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s="10" customFormat="1" ht="12.75" customHeight="1">
      <c r="A88" s="216" t="s">
        <v>407</v>
      </c>
      <c r="B88" s="117">
        <f>SUM(B89:B93)</f>
        <v>0</v>
      </c>
      <c r="C88" s="117">
        <f>SUM(C89:C93)</f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s="10" customFormat="1" ht="12.75" customHeight="1" hidden="1">
      <c r="A89" s="220" t="s">
        <v>621</v>
      </c>
      <c r="B89" s="80"/>
      <c r="C89" s="8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s="10" customFormat="1" ht="12.75" customHeight="1" hidden="1">
      <c r="A90" s="220" t="s">
        <v>948</v>
      </c>
      <c r="B90" s="80"/>
      <c r="C90" s="8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s="10" customFormat="1" ht="12.75" customHeight="1" hidden="1">
      <c r="A91" s="220" t="s">
        <v>949</v>
      </c>
      <c r="B91" s="80"/>
      <c r="C91" s="8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s="10" customFormat="1" ht="12.75" customHeight="1" hidden="1">
      <c r="A92" s="220" t="s">
        <v>557</v>
      </c>
      <c r="B92" s="80"/>
      <c r="C92" s="8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s="10" customFormat="1" ht="12.75" customHeight="1" hidden="1">
      <c r="A93" s="220" t="s">
        <v>557</v>
      </c>
      <c r="B93" s="80"/>
      <c r="C93" s="8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s="10" customFormat="1" ht="12.75" customHeight="1">
      <c r="A94" s="216" t="s">
        <v>408</v>
      </c>
      <c r="B94" s="117">
        <f>SUM(B95:B100)</f>
        <v>0</v>
      </c>
      <c r="C94" s="117">
        <f>SUM(C95:C100)</f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s="10" customFormat="1" ht="12.75" customHeight="1" hidden="1">
      <c r="A95" s="220" t="s">
        <v>947</v>
      </c>
      <c r="B95" s="80"/>
      <c r="C95" s="8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s="10" customFormat="1" ht="12.75" customHeight="1" hidden="1">
      <c r="A96" s="220" t="s">
        <v>950</v>
      </c>
      <c r="B96" s="80"/>
      <c r="C96" s="8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s="10" customFormat="1" ht="12.75" customHeight="1" hidden="1">
      <c r="A97" s="220" t="s">
        <v>632</v>
      </c>
      <c r="B97" s="80"/>
      <c r="C97" s="8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s="10" customFormat="1" ht="12.75" customHeight="1" hidden="1">
      <c r="A98" s="220" t="s">
        <v>633</v>
      </c>
      <c r="B98" s="80"/>
      <c r="C98" s="8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s="10" customFormat="1" ht="12.75" customHeight="1" hidden="1">
      <c r="A99" s="220" t="s">
        <v>155</v>
      </c>
      <c r="B99" s="80"/>
      <c r="C99" s="8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s="10" customFormat="1" ht="12.75" customHeight="1" hidden="1">
      <c r="A100" s="220" t="s">
        <v>155</v>
      </c>
      <c r="B100" s="80"/>
      <c r="C100" s="8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s="10" customFormat="1" ht="12.75" customHeight="1">
      <c r="A101" s="216" t="s">
        <v>854</v>
      </c>
      <c r="B101" s="118">
        <f>B87+B88-B94</f>
        <v>0</v>
      </c>
      <c r="C101" s="118">
        <f>C87+C88-C94</f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s="10" customFormat="1" ht="21.75" customHeight="1" thickBot="1">
      <c r="A102" s="219" t="s">
        <v>205</v>
      </c>
      <c r="B102" s="82">
        <f>B101</f>
        <v>0</v>
      </c>
      <c r="C102" s="82">
        <f>C101</f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10" customFormat="1" ht="12.75" customHeight="1" hidden="1">
      <c r="A103" s="22"/>
      <c r="B103" s="199" t="str">
        <f>IF(B102=B83,"OK","BŁĄD")</f>
        <v>OK</v>
      </c>
      <c r="C103" s="199" t="str">
        <f>IF(C102=C83,"OK","BŁĄD")</f>
        <v>OK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s="10" customFormat="1" ht="12.75" customHeight="1">
      <c r="A104" s="22"/>
      <c r="B104" s="199"/>
      <c r="C104" s="19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s="10" customFormat="1" ht="18" customHeight="1" thickBot="1">
      <c r="A105" s="1" t="s">
        <v>944</v>
      </c>
      <c r="B105" s="12"/>
      <c r="C105" s="3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s="10" customFormat="1" ht="30" customHeight="1">
      <c r="A106" s="282" t="s">
        <v>634</v>
      </c>
      <c r="B106" s="60" t="e">
        <f>B4</f>
        <v>#REF!</v>
      </c>
      <c r="C106" s="60" t="e">
        <f>C4</f>
        <v>#REF!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s="10" customFormat="1" ht="12.75" customHeight="1">
      <c r="A107" s="216" t="s">
        <v>50</v>
      </c>
      <c r="B107" s="118">
        <v>0</v>
      </c>
      <c r="C107" s="118"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s="10" customFormat="1" ht="12.75" customHeight="1">
      <c r="A108" s="216" t="s">
        <v>407</v>
      </c>
      <c r="B108" s="117">
        <f>SUM(B109:B112)</f>
        <v>0</v>
      </c>
      <c r="C108" s="117">
        <f>SUM(C109:C112)</f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s="10" customFormat="1" ht="12.75" customHeight="1" hidden="1">
      <c r="A109" s="221" t="s">
        <v>11</v>
      </c>
      <c r="B109" s="59"/>
      <c r="C109" s="5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0" customFormat="1" ht="12.75" customHeight="1" hidden="1">
      <c r="A110" s="221" t="s">
        <v>397</v>
      </c>
      <c r="B110" s="80"/>
      <c r="C110" s="8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s="10" customFormat="1" ht="12.75" customHeight="1" hidden="1">
      <c r="A111" s="221" t="s">
        <v>398</v>
      </c>
      <c r="B111" s="80"/>
      <c r="C111" s="8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s="10" customFormat="1" ht="12.75" customHeight="1" hidden="1">
      <c r="A112" s="220" t="s">
        <v>155</v>
      </c>
      <c r="B112" s="80"/>
      <c r="C112" s="8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s="10" customFormat="1" ht="12.75" customHeight="1">
      <c r="A113" s="222" t="s">
        <v>757</v>
      </c>
      <c r="B113" s="117">
        <f>SUM(B114:B117)</f>
        <v>0</v>
      </c>
      <c r="C113" s="117">
        <f>SUM(C114:C117)</f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s="10" customFormat="1" ht="12.75" customHeight="1" hidden="1">
      <c r="A114" s="221" t="s">
        <v>399</v>
      </c>
      <c r="B114" s="59"/>
      <c r="C114" s="5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s="10" customFormat="1" ht="12.75" customHeight="1" hidden="1">
      <c r="A115" s="221" t="s">
        <v>947</v>
      </c>
      <c r="B115" s="80"/>
      <c r="C115" s="8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s="10" customFormat="1" ht="12.75" customHeight="1" hidden="1">
      <c r="A116" s="221" t="s">
        <v>400</v>
      </c>
      <c r="B116" s="80"/>
      <c r="C116" s="8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s="10" customFormat="1" ht="12.75" customHeight="1" hidden="1">
      <c r="A117" s="220" t="s">
        <v>155</v>
      </c>
      <c r="B117" s="80"/>
      <c r="C117" s="8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0" customFormat="1" ht="27" customHeight="1" thickBot="1">
      <c r="A118" s="223" t="s">
        <v>206</v>
      </c>
      <c r="B118" s="82">
        <f>B107+B108-B113</f>
        <v>0</v>
      </c>
      <c r="C118" s="82">
        <f>C107+C108-C113</f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s="10" customFormat="1" ht="12.75" hidden="1">
      <c r="A119" s="13"/>
      <c r="B119" s="199" t="str">
        <f>IF(B118=B82,"OK","BŁĄD")</f>
        <v>OK</v>
      </c>
      <c r="C119" s="199" t="str">
        <f>IF(C118=C82,"OK","BŁĄD")</f>
        <v>OK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7" t="s">
        <v>239</v>
      </c>
      <c r="T119" s="2" t="s">
        <v>240</v>
      </c>
      <c r="U119" s="2" t="s">
        <v>241</v>
      </c>
      <c r="V119" s="2" t="s">
        <v>242</v>
      </c>
      <c r="W119" s="3" t="s">
        <v>243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s="10" customFormat="1" ht="12.75">
      <c r="A120" s="13"/>
      <c r="B120" s="199"/>
      <c r="C120" s="19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7"/>
      <c r="T120" s="2"/>
      <c r="U120" s="2"/>
      <c r="V120" s="2"/>
      <c r="W120" s="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s="10" customFormat="1" ht="17.25" thickBot="1">
      <c r="A121" s="1" t="s">
        <v>945</v>
      </c>
      <c r="B121" s="12"/>
      <c r="C121" s="3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4"/>
      <c r="T121" s="18"/>
      <c r="U121" s="18"/>
      <c r="V121" s="18"/>
      <c r="W121" s="1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s="10" customFormat="1" ht="15" customHeight="1">
      <c r="A122" s="282" t="s">
        <v>609</v>
      </c>
      <c r="B122" s="60" t="e">
        <f>B4</f>
        <v>#REF!</v>
      </c>
      <c r="C122" s="60" t="e">
        <f>C4</f>
        <v>#REF!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4"/>
      <c r="T122" s="18"/>
      <c r="U122" s="18"/>
      <c r="V122" s="18"/>
      <c r="W122" s="1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s="10" customFormat="1" ht="12.75">
      <c r="A123" s="216" t="s">
        <v>610</v>
      </c>
      <c r="B123" s="118">
        <v>0</v>
      </c>
      <c r="C123" s="118"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4"/>
      <c r="T123" s="18"/>
      <c r="U123" s="18"/>
      <c r="V123" s="18"/>
      <c r="W123" s="1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s="10" customFormat="1" ht="13.5" thickBot="1">
      <c r="A124" s="216" t="s">
        <v>611</v>
      </c>
      <c r="B124" s="117">
        <f>B126+B128+B130+B132</f>
        <v>0</v>
      </c>
      <c r="C124" s="117">
        <f>C126+C128+C130+C132</f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5"/>
      <c r="T124" s="6"/>
      <c r="U124" s="6"/>
      <c r="V124" s="6"/>
      <c r="W124" s="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s="10" customFormat="1" ht="12.75" hidden="1">
      <c r="A125" s="224" t="s">
        <v>612</v>
      </c>
      <c r="B125" s="80"/>
      <c r="C125" s="8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s="10" customFormat="1" ht="12.75" hidden="1">
      <c r="A126" s="224" t="s">
        <v>254</v>
      </c>
      <c r="B126" s="80"/>
      <c r="C126" s="8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s="10" customFormat="1" ht="12.75" hidden="1">
      <c r="A127" s="224" t="s">
        <v>613</v>
      </c>
      <c r="B127" s="80"/>
      <c r="C127" s="8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0" customFormat="1" ht="12.75" hidden="1">
      <c r="A128" s="224" t="s">
        <v>254</v>
      </c>
      <c r="B128" s="80"/>
      <c r="C128" s="8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s="10" customFormat="1" ht="12.75" hidden="1">
      <c r="A129" s="224" t="s">
        <v>614</v>
      </c>
      <c r="B129" s="80"/>
      <c r="C129" s="8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s="10" customFormat="1" ht="12.75" hidden="1">
      <c r="A130" s="224" t="s">
        <v>254</v>
      </c>
      <c r="B130" s="80"/>
      <c r="C130" s="8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s="10" customFormat="1" ht="12.75" hidden="1">
      <c r="A131" s="224" t="s">
        <v>615</v>
      </c>
      <c r="B131" s="80"/>
      <c r="C131" s="8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s="10" customFormat="1" ht="12.75" hidden="1">
      <c r="A132" s="224" t="s">
        <v>255</v>
      </c>
      <c r="B132" s="80"/>
      <c r="C132" s="8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s="10" customFormat="1" ht="13.5" thickBot="1">
      <c r="A133" s="219" t="s">
        <v>256</v>
      </c>
      <c r="B133" s="82">
        <f>B123+B124</f>
        <v>0</v>
      </c>
      <c r="C133" s="82">
        <f>C123+C124</f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s="10" customFormat="1" ht="12.75" hidden="1">
      <c r="A134" s="13"/>
      <c r="B134" s="199" t="str">
        <f>IF(B133=B83,"OK","BŁĄD")</f>
        <v>OK</v>
      </c>
      <c r="C134" s="199" t="str">
        <f>IF(C133=C83,"OK","BŁĄD")</f>
        <v>OK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s="10" customFormat="1" ht="12.75">
      <c r="A135" s="13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8" s="10" customFormat="1" ht="18" customHeight="1" thickBot="1">
      <c r="A136" s="1" t="s">
        <v>251</v>
      </c>
      <c r="B136" s="12"/>
      <c r="C136" s="9"/>
      <c r="D136" s="2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5" customHeight="1">
      <c r="A137" s="282" t="s">
        <v>207</v>
      </c>
      <c r="B137" s="60" t="e">
        <f>B4</f>
        <v>#REF!</v>
      </c>
      <c r="C137" s="60" t="e">
        <f>C4</f>
        <v>#REF!</v>
      </c>
      <c r="D137" s="2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 customHeight="1">
      <c r="A138" s="216" t="s">
        <v>961</v>
      </c>
      <c r="B138" s="145">
        <f>SUM(B139:B141)</f>
        <v>0</v>
      </c>
      <c r="C138" s="145">
        <f>SUM(C139:C141)</f>
        <v>0</v>
      </c>
      <c r="D138" s="2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 customHeight="1">
      <c r="A139" s="225" t="s">
        <v>409</v>
      </c>
      <c r="B139" s="146">
        <f>B143</f>
        <v>0</v>
      </c>
      <c r="C139" s="146">
        <f>C143</f>
        <v>0</v>
      </c>
      <c r="D139" s="2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 customHeight="1">
      <c r="A140" s="226" t="s">
        <v>266</v>
      </c>
      <c r="B140" s="146">
        <f>B152</f>
        <v>0</v>
      </c>
      <c r="C140" s="146">
        <f>C152</f>
        <v>0</v>
      </c>
      <c r="D140" s="2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 customHeight="1">
      <c r="A141" s="226" t="s">
        <v>267</v>
      </c>
      <c r="B141" s="146">
        <f>B161</f>
        <v>0</v>
      </c>
      <c r="C141" s="146">
        <f>C161</f>
        <v>0</v>
      </c>
      <c r="D141" s="2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 customHeight="1">
      <c r="A142" s="226" t="s">
        <v>962</v>
      </c>
      <c r="B142" s="144"/>
      <c r="C142" s="144"/>
      <c r="D142" s="2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 customHeight="1">
      <c r="A143" s="217" t="s">
        <v>50</v>
      </c>
      <c r="B143" s="152">
        <v>0</v>
      </c>
      <c r="C143" s="152">
        <v>0</v>
      </c>
      <c r="D143" s="2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 customHeight="1">
      <c r="A144" s="217" t="s">
        <v>799</v>
      </c>
      <c r="B144" s="152">
        <f>SUM(B145:B146)</f>
        <v>0</v>
      </c>
      <c r="C144" s="152">
        <f>SUM(C145:C146)</f>
        <v>0</v>
      </c>
      <c r="D144" s="2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 customHeight="1" hidden="1">
      <c r="A145" s="227" t="s">
        <v>51</v>
      </c>
      <c r="B145" s="153"/>
      <c r="C145" s="153"/>
      <c r="D145" s="2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 customHeight="1" hidden="1">
      <c r="A146" s="227" t="s">
        <v>51</v>
      </c>
      <c r="B146" s="153"/>
      <c r="C146" s="153"/>
      <c r="D146" s="2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 customHeight="1">
      <c r="A147" s="217" t="s">
        <v>635</v>
      </c>
      <c r="B147" s="152">
        <f>SUM(B148:B149)</f>
        <v>0</v>
      </c>
      <c r="C147" s="152">
        <f>SUM(C148:C149)</f>
        <v>0</v>
      </c>
      <c r="D147" s="2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 customHeight="1" hidden="1">
      <c r="A148" s="227" t="s">
        <v>51</v>
      </c>
      <c r="B148" s="153"/>
      <c r="C148" s="153"/>
      <c r="D148" s="2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 customHeight="1" hidden="1">
      <c r="A149" s="227" t="s">
        <v>51</v>
      </c>
      <c r="B149" s="153"/>
      <c r="C149" s="153"/>
      <c r="D149" s="2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 customHeight="1">
      <c r="A150" s="216" t="s">
        <v>854</v>
      </c>
      <c r="B150" s="154">
        <f>B143+B144-B147</f>
        <v>0</v>
      </c>
      <c r="C150" s="154">
        <f>C143+C144-C147</f>
        <v>0</v>
      </c>
      <c r="D150" s="2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 customHeight="1">
      <c r="A151" s="226" t="s">
        <v>963</v>
      </c>
      <c r="B151" s="146"/>
      <c r="C151" s="146"/>
      <c r="D151" s="2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 customHeight="1">
      <c r="A152" s="217" t="s">
        <v>50</v>
      </c>
      <c r="B152" s="155">
        <v>0</v>
      </c>
      <c r="C152" s="155">
        <v>0</v>
      </c>
      <c r="D152" s="2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 customHeight="1">
      <c r="A153" s="217" t="s">
        <v>799</v>
      </c>
      <c r="B153" s="155">
        <f>SUM(B154:B155)</f>
        <v>0</v>
      </c>
      <c r="C153" s="155">
        <f>SUM(C154:C155)</f>
        <v>0</v>
      </c>
      <c r="D153" s="2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 customHeight="1" hidden="1">
      <c r="A154" s="227" t="s">
        <v>51</v>
      </c>
      <c r="B154" s="156"/>
      <c r="C154" s="156"/>
      <c r="D154" s="2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 customHeight="1" hidden="1">
      <c r="A155" s="227" t="s">
        <v>51</v>
      </c>
      <c r="B155" s="156"/>
      <c r="C155" s="156"/>
      <c r="D155" s="2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 customHeight="1">
      <c r="A156" s="217" t="s">
        <v>635</v>
      </c>
      <c r="B156" s="155">
        <f>SUM(B157:B158)</f>
        <v>0</v>
      </c>
      <c r="C156" s="155">
        <f>SUM(C157:C158)</f>
        <v>0</v>
      </c>
      <c r="D156" s="2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 customHeight="1" hidden="1">
      <c r="A157" s="227" t="s">
        <v>51</v>
      </c>
      <c r="B157" s="156"/>
      <c r="C157" s="156"/>
      <c r="D157" s="2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 customHeight="1" hidden="1">
      <c r="A158" s="227" t="s">
        <v>51</v>
      </c>
      <c r="B158" s="156"/>
      <c r="C158" s="156"/>
      <c r="D158" s="2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 customHeight="1">
      <c r="A159" s="216" t="s">
        <v>854</v>
      </c>
      <c r="B159" s="157">
        <f>B152+B153-B156</f>
        <v>0</v>
      </c>
      <c r="C159" s="157">
        <f>C152+C153-C156</f>
        <v>0</v>
      </c>
      <c r="D159" s="2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 customHeight="1">
      <c r="A160" s="226" t="s">
        <v>964</v>
      </c>
      <c r="B160" s="146"/>
      <c r="C160" s="146"/>
      <c r="D160" s="2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 customHeight="1">
      <c r="A161" s="217" t="s">
        <v>50</v>
      </c>
      <c r="B161" s="155">
        <v>0</v>
      </c>
      <c r="C161" s="155">
        <v>0</v>
      </c>
      <c r="D161" s="2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 customHeight="1">
      <c r="A162" s="217" t="s">
        <v>799</v>
      </c>
      <c r="B162" s="155">
        <f>SUM(B163:B164)</f>
        <v>0</v>
      </c>
      <c r="C162" s="155">
        <f>SUM(C163:C164)</f>
        <v>0</v>
      </c>
      <c r="D162" s="2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 customHeight="1" hidden="1">
      <c r="A163" s="227" t="s">
        <v>51</v>
      </c>
      <c r="B163" s="156"/>
      <c r="C163" s="156"/>
      <c r="D163" s="2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 customHeight="1" hidden="1">
      <c r="A164" s="227" t="s">
        <v>51</v>
      </c>
      <c r="B164" s="156"/>
      <c r="C164" s="156"/>
      <c r="D164" s="2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 customHeight="1">
      <c r="A165" s="217" t="s">
        <v>635</v>
      </c>
      <c r="B165" s="155">
        <f>SUM(B166:B167)</f>
        <v>0</v>
      </c>
      <c r="C165" s="155">
        <f>SUM(C166:C167)</f>
        <v>0</v>
      </c>
      <c r="D165" s="2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 customHeight="1" hidden="1">
      <c r="A166" s="227" t="s">
        <v>51</v>
      </c>
      <c r="B166" s="156"/>
      <c r="C166" s="156"/>
      <c r="D166" s="2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 customHeight="1" hidden="1">
      <c r="A167" s="227" t="s">
        <v>51</v>
      </c>
      <c r="B167" s="156"/>
      <c r="C167" s="156"/>
      <c r="D167" s="2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 customHeight="1">
      <c r="A168" s="216" t="s">
        <v>854</v>
      </c>
      <c r="B168" s="157">
        <f>B161+B162-B165</f>
        <v>0</v>
      </c>
      <c r="C168" s="157">
        <f>C161+C162-C165</f>
        <v>0</v>
      </c>
      <c r="D168" s="2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 customHeight="1">
      <c r="A169" s="217" t="s">
        <v>965</v>
      </c>
      <c r="B169" s="152">
        <f>SUM(B170:B172)</f>
        <v>0</v>
      </c>
      <c r="C169" s="152">
        <f>SUM(C170:C172)</f>
        <v>0</v>
      </c>
      <c r="D169" s="2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 customHeight="1">
      <c r="A170" s="225" t="s">
        <v>409</v>
      </c>
      <c r="B170" s="152">
        <f>B150</f>
        <v>0</v>
      </c>
      <c r="C170" s="152">
        <f>C150</f>
        <v>0</v>
      </c>
      <c r="D170" s="2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 customHeight="1">
      <c r="A171" s="226" t="s">
        <v>266</v>
      </c>
      <c r="B171" s="153">
        <f>B159</f>
        <v>0</v>
      </c>
      <c r="C171" s="153">
        <f>C159</f>
        <v>0</v>
      </c>
      <c r="D171" s="2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 customHeight="1">
      <c r="A172" s="226" t="s">
        <v>267</v>
      </c>
      <c r="B172" s="153">
        <f>B168</f>
        <v>0</v>
      </c>
      <c r="C172" s="153">
        <f>C168</f>
        <v>0</v>
      </c>
      <c r="D172" s="2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 customHeight="1" thickBot="1">
      <c r="A173" s="219" t="s">
        <v>210</v>
      </c>
      <c r="B173" s="148">
        <f>B169</f>
        <v>0</v>
      </c>
      <c r="C173" s="148">
        <f>C169</f>
        <v>0</v>
      </c>
      <c r="D173" s="2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2:3" s="21" customFormat="1" ht="12.75">
      <c r="B174" s="34"/>
      <c r="C174" s="34"/>
    </row>
    <row r="175" spans="2:3" s="21" customFormat="1" ht="12.75">
      <c r="B175" s="34"/>
      <c r="C175" s="34"/>
    </row>
    <row r="176" spans="1:78" s="10" customFormat="1" ht="18" customHeight="1" thickBot="1">
      <c r="A176" s="1" t="s">
        <v>252</v>
      </c>
      <c r="B176" s="33"/>
      <c r="C176" s="33"/>
      <c r="D176" s="2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24" customHeight="1">
      <c r="A177" s="282" t="s">
        <v>212</v>
      </c>
      <c r="B177" s="60" t="e">
        <f>B4</f>
        <v>#REF!</v>
      </c>
      <c r="C177" s="60" t="e">
        <f>C4</f>
        <v>#REF!</v>
      </c>
      <c r="D177" s="2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 customHeight="1">
      <c r="A178" s="217" t="s">
        <v>208</v>
      </c>
      <c r="B178" s="59">
        <f>SUM(B179:B180)</f>
        <v>0</v>
      </c>
      <c r="C178" s="59">
        <f>SUM(C179:C180)</f>
        <v>0</v>
      </c>
      <c r="D178" s="2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 customHeight="1" hidden="1">
      <c r="A179" s="227" t="s">
        <v>51</v>
      </c>
      <c r="B179" s="59"/>
      <c r="C179" s="59"/>
      <c r="D179" s="2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 customHeight="1" hidden="1">
      <c r="A180" s="227" t="s">
        <v>51</v>
      </c>
      <c r="B180" s="59"/>
      <c r="C180" s="59"/>
      <c r="D180" s="2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 customHeight="1">
      <c r="A181" s="217" t="s">
        <v>799</v>
      </c>
      <c r="B181" s="59">
        <f>SUM(B182:B183)</f>
        <v>0</v>
      </c>
      <c r="C181" s="59">
        <f>SUM(C182:C183)</f>
        <v>0</v>
      </c>
      <c r="D181" s="2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 customHeight="1" hidden="1">
      <c r="A182" s="227" t="s">
        <v>51</v>
      </c>
      <c r="B182" s="80"/>
      <c r="C182" s="80"/>
      <c r="D182" s="2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 customHeight="1" hidden="1">
      <c r="A183" s="227" t="s">
        <v>51</v>
      </c>
      <c r="B183" s="80"/>
      <c r="C183" s="80"/>
      <c r="D183" s="2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 customHeight="1">
      <c r="A184" s="217" t="s">
        <v>635</v>
      </c>
      <c r="B184" s="59">
        <f>SUM(B185:B186)</f>
        <v>0</v>
      </c>
      <c r="C184" s="59">
        <f>SUM(C185:C186)</f>
        <v>0</v>
      </c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 customHeight="1" hidden="1">
      <c r="A185" s="227" t="s">
        <v>51</v>
      </c>
      <c r="B185" s="80"/>
      <c r="C185" s="80"/>
      <c r="D185" s="2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 customHeight="1" hidden="1">
      <c r="A186" s="227" t="s">
        <v>51</v>
      </c>
      <c r="B186" s="80"/>
      <c r="C186" s="80"/>
      <c r="D186" s="2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 customHeight="1">
      <c r="A187" s="217" t="s">
        <v>209</v>
      </c>
      <c r="B187" s="59">
        <f>SUM(B188:B189)</f>
        <v>0</v>
      </c>
      <c r="C187" s="59">
        <f>SUM(C188:C189)</f>
        <v>0</v>
      </c>
      <c r="D187" s="2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 customHeight="1" hidden="1">
      <c r="A188" s="227" t="s">
        <v>51</v>
      </c>
      <c r="B188" s="80"/>
      <c r="C188" s="80"/>
      <c r="D188" s="2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 customHeight="1" hidden="1">
      <c r="A189" s="227" t="s">
        <v>51</v>
      </c>
      <c r="B189" s="80"/>
      <c r="C189" s="80"/>
      <c r="D189" s="2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 customHeight="1" thickBot="1">
      <c r="A190" s="219" t="s">
        <v>213</v>
      </c>
      <c r="B190" s="148">
        <f>B187</f>
        <v>0</v>
      </c>
      <c r="C190" s="148">
        <f>C187</f>
        <v>0</v>
      </c>
      <c r="D190" s="2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2:3" s="21" customFormat="1" ht="12.75">
      <c r="B191" s="34"/>
      <c r="C191" s="34"/>
    </row>
    <row r="192" spans="1:78" s="10" customFormat="1" ht="18" customHeight="1" thickBot="1">
      <c r="A192" s="1" t="s">
        <v>253</v>
      </c>
      <c r="B192" s="33"/>
      <c r="C192" s="33"/>
      <c r="D192" s="2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5" customHeight="1">
      <c r="A193" s="282" t="s">
        <v>214</v>
      </c>
      <c r="B193" s="60" t="e">
        <f>B4</f>
        <v>#REF!</v>
      </c>
      <c r="C193" s="60" t="e">
        <f>C4</f>
        <v>#REF!</v>
      </c>
      <c r="D193" s="2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 customHeight="1">
      <c r="A194" s="216" t="s">
        <v>814</v>
      </c>
      <c r="B194" s="154">
        <f>B195+B196+B197+B199+B200</f>
        <v>604294</v>
      </c>
      <c r="C194" s="154">
        <f>C195+C196+C197+C199+C200</f>
        <v>607674</v>
      </c>
      <c r="D194" s="2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3" s="21" customFormat="1" ht="12.75">
      <c r="A195" s="217" t="s">
        <v>215</v>
      </c>
      <c r="B195" s="158">
        <v>604294</v>
      </c>
      <c r="C195" s="158">
        <v>607674</v>
      </c>
    </row>
    <row r="196" spans="1:3" s="21" customFormat="1" ht="12.75" hidden="1">
      <c r="A196" s="217" t="s">
        <v>928</v>
      </c>
      <c r="B196" s="158"/>
      <c r="C196" s="158"/>
    </row>
    <row r="197" spans="1:3" s="21" customFormat="1" ht="12.75" hidden="1">
      <c r="A197" s="217" t="s">
        <v>929</v>
      </c>
      <c r="B197" s="158"/>
      <c r="C197" s="158"/>
    </row>
    <row r="198" spans="1:3" s="21" customFormat="1" ht="12.75" hidden="1">
      <c r="A198" s="217" t="s">
        <v>930</v>
      </c>
      <c r="B198" s="158"/>
      <c r="C198" s="158"/>
    </row>
    <row r="199" spans="1:3" s="21" customFormat="1" ht="12.75" hidden="1">
      <c r="A199" s="217" t="s">
        <v>931</v>
      </c>
      <c r="B199" s="158"/>
      <c r="C199" s="158"/>
    </row>
    <row r="200" spans="1:3" s="21" customFormat="1" ht="12.75" hidden="1">
      <c r="A200" s="217" t="s">
        <v>932</v>
      </c>
      <c r="B200" s="158"/>
      <c r="C200" s="158"/>
    </row>
    <row r="201" spans="1:3" s="21" customFormat="1" ht="12.75" hidden="1">
      <c r="A201" s="217" t="s">
        <v>930</v>
      </c>
      <c r="B201" s="158"/>
      <c r="C201" s="158"/>
    </row>
    <row r="202" spans="1:3" s="21" customFormat="1" ht="12.75">
      <c r="A202" s="216" t="s">
        <v>815</v>
      </c>
      <c r="B202" s="154">
        <f>B203+B204+B205+B207+B208</f>
        <v>29</v>
      </c>
      <c r="C202" s="154">
        <f>C203+C204+C205+C207+C208</f>
        <v>25</v>
      </c>
    </row>
    <row r="203" spans="1:3" s="21" customFormat="1" ht="12.75">
      <c r="A203" s="217" t="s">
        <v>215</v>
      </c>
      <c r="B203" s="158">
        <v>29</v>
      </c>
      <c r="C203" s="158">
        <v>25</v>
      </c>
    </row>
    <row r="204" spans="1:3" s="21" customFormat="1" ht="12.75" hidden="1">
      <c r="A204" s="217" t="s">
        <v>928</v>
      </c>
      <c r="B204" s="158"/>
      <c r="C204" s="158"/>
    </row>
    <row r="205" spans="1:3" s="21" customFormat="1" ht="12.75" hidden="1">
      <c r="A205" s="217" t="s">
        <v>929</v>
      </c>
      <c r="B205" s="158"/>
      <c r="C205" s="158"/>
    </row>
    <row r="206" spans="1:3" s="21" customFormat="1" ht="12.75" hidden="1">
      <c r="A206" s="217" t="s">
        <v>930</v>
      </c>
      <c r="B206" s="158"/>
      <c r="C206" s="158"/>
    </row>
    <row r="207" spans="1:3" s="21" customFormat="1" ht="12.75" hidden="1">
      <c r="A207" s="217" t="s">
        <v>931</v>
      </c>
      <c r="B207" s="158"/>
      <c r="C207" s="158"/>
    </row>
    <row r="208" spans="1:3" s="21" customFormat="1" ht="12.75" hidden="1">
      <c r="A208" s="217" t="s">
        <v>932</v>
      </c>
      <c r="B208" s="158"/>
      <c r="C208" s="158"/>
    </row>
    <row r="209" spans="1:3" s="21" customFormat="1" ht="12.75" hidden="1">
      <c r="A209" s="217" t="s">
        <v>930</v>
      </c>
      <c r="B209" s="158"/>
      <c r="C209" s="158"/>
    </row>
    <row r="210" spans="1:3" s="21" customFormat="1" ht="12.75">
      <c r="A210" s="216" t="s">
        <v>816</v>
      </c>
      <c r="B210" s="154">
        <f>B211+B212+B213+B215+B216</f>
        <v>15088</v>
      </c>
      <c r="C210" s="154">
        <f>C211+C212+C213+C215+C216</f>
        <v>18424</v>
      </c>
    </row>
    <row r="211" spans="1:3" s="21" customFormat="1" ht="12.75">
      <c r="A211" s="217" t="s">
        <v>215</v>
      </c>
      <c r="B211" s="158">
        <v>15088</v>
      </c>
      <c r="C211" s="158">
        <f>4733-25+13716</f>
        <v>18424</v>
      </c>
    </row>
    <row r="212" spans="1:3" s="21" customFormat="1" ht="12.75" hidden="1">
      <c r="A212" s="217" t="s">
        <v>928</v>
      </c>
      <c r="B212" s="158"/>
      <c r="C212" s="158"/>
    </row>
    <row r="213" spans="1:3" s="21" customFormat="1" ht="12.75" hidden="1">
      <c r="A213" s="217" t="s">
        <v>929</v>
      </c>
      <c r="B213" s="158"/>
      <c r="C213" s="158"/>
    </row>
    <row r="214" spans="1:3" s="21" customFormat="1" ht="12.75" hidden="1">
      <c r="A214" s="217" t="s">
        <v>930</v>
      </c>
      <c r="B214" s="158"/>
      <c r="C214" s="158"/>
    </row>
    <row r="215" spans="1:3" s="21" customFormat="1" ht="12.75" hidden="1">
      <c r="A215" s="217" t="s">
        <v>931</v>
      </c>
      <c r="B215" s="158"/>
      <c r="C215" s="158"/>
    </row>
    <row r="216" spans="1:3" s="21" customFormat="1" ht="12.75" hidden="1">
      <c r="A216" s="217" t="s">
        <v>932</v>
      </c>
      <c r="B216" s="158"/>
      <c r="C216" s="158"/>
    </row>
    <row r="217" spans="1:3" s="21" customFormat="1" ht="12.75" hidden="1">
      <c r="A217" s="217" t="s">
        <v>930</v>
      </c>
      <c r="B217" s="158"/>
      <c r="C217" s="158"/>
    </row>
    <row r="218" spans="1:3" s="21" customFormat="1" ht="12.75">
      <c r="A218" s="216" t="s">
        <v>219</v>
      </c>
      <c r="B218" s="154">
        <f>B219+B220+B221+B223+B224</f>
        <v>0</v>
      </c>
      <c r="C218" s="154">
        <f>C219+C220+C221+C223+C224</f>
        <v>0</v>
      </c>
    </row>
    <row r="219" spans="1:3" s="21" customFormat="1" ht="12.75" hidden="1">
      <c r="A219" s="217" t="s">
        <v>215</v>
      </c>
      <c r="B219" s="158"/>
      <c r="C219" s="158"/>
    </row>
    <row r="220" spans="1:3" s="21" customFormat="1" ht="12.75" hidden="1">
      <c r="A220" s="217" t="s">
        <v>928</v>
      </c>
      <c r="B220" s="158"/>
      <c r="C220" s="158"/>
    </row>
    <row r="221" spans="1:3" s="21" customFormat="1" ht="12.75" hidden="1">
      <c r="A221" s="217" t="s">
        <v>929</v>
      </c>
      <c r="B221" s="158"/>
      <c r="C221" s="158"/>
    </row>
    <row r="222" spans="1:3" s="21" customFormat="1" ht="12.75" hidden="1">
      <c r="A222" s="217" t="s">
        <v>930</v>
      </c>
      <c r="B222" s="158"/>
      <c r="C222" s="158"/>
    </row>
    <row r="223" spans="1:3" s="21" customFormat="1" ht="12.75" hidden="1">
      <c r="A223" s="217" t="s">
        <v>931</v>
      </c>
      <c r="B223" s="158"/>
      <c r="C223" s="158"/>
    </row>
    <row r="224" spans="1:3" s="21" customFormat="1" ht="12.75" hidden="1">
      <c r="A224" s="217" t="s">
        <v>932</v>
      </c>
      <c r="B224" s="158"/>
      <c r="C224" s="158"/>
    </row>
    <row r="225" spans="1:3" s="21" customFormat="1" ht="12.75" hidden="1">
      <c r="A225" s="217" t="s">
        <v>930</v>
      </c>
      <c r="B225" s="158"/>
      <c r="C225" s="158"/>
    </row>
    <row r="226" spans="1:3" s="21" customFormat="1" ht="12.75">
      <c r="A226" s="216" t="s">
        <v>748</v>
      </c>
      <c r="B226" s="154">
        <f>B227+B228+B229+B231+B232</f>
        <v>0</v>
      </c>
      <c r="C226" s="154">
        <f>C227+C228+C229+C231+C232</f>
        <v>0</v>
      </c>
    </row>
    <row r="227" spans="1:3" s="21" customFormat="1" ht="12.75" hidden="1">
      <c r="A227" s="217" t="s">
        <v>215</v>
      </c>
      <c r="B227" s="158"/>
      <c r="C227" s="158"/>
    </row>
    <row r="228" spans="1:3" s="21" customFormat="1" ht="12.75" hidden="1">
      <c r="A228" s="217" t="s">
        <v>928</v>
      </c>
      <c r="B228" s="158"/>
      <c r="C228" s="158"/>
    </row>
    <row r="229" spans="1:3" s="21" customFormat="1" ht="12.75" hidden="1">
      <c r="A229" s="217" t="s">
        <v>929</v>
      </c>
      <c r="B229" s="158"/>
      <c r="C229" s="158"/>
    </row>
    <row r="230" spans="1:3" s="21" customFormat="1" ht="12.75" hidden="1">
      <c r="A230" s="217" t="s">
        <v>930</v>
      </c>
      <c r="B230" s="158"/>
      <c r="C230" s="158"/>
    </row>
    <row r="231" spans="1:3" s="21" customFormat="1" ht="12.75" hidden="1">
      <c r="A231" s="217" t="s">
        <v>931</v>
      </c>
      <c r="B231" s="158"/>
      <c r="C231" s="158"/>
    </row>
    <row r="232" spans="1:3" s="21" customFormat="1" ht="12.75" hidden="1">
      <c r="A232" s="217" t="s">
        <v>932</v>
      </c>
      <c r="B232" s="158"/>
      <c r="C232" s="158"/>
    </row>
    <row r="233" spans="1:3" s="21" customFormat="1" ht="12.75" hidden="1">
      <c r="A233" s="217" t="s">
        <v>930</v>
      </c>
      <c r="B233" s="158"/>
      <c r="C233" s="158"/>
    </row>
    <row r="234" spans="1:3" s="21" customFormat="1" ht="12.75">
      <c r="A234" s="216" t="s">
        <v>48</v>
      </c>
      <c r="B234" s="159">
        <f>B235+B236+B239+B242+B243</f>
        <v>3637</v>
      </c>
      <c r="C234" s="159">
        <f>C235+C236+C239+C242+C243</f>
        <v>978</v>
      </c>
    </row>
    <row r="235" spans="1:3" s="21" customFormat="1" ht="12.75">
      <c r="A235" s="217" t="s">
        <v>215</v>
      </c>
      <c r="B235" s="158">
        <v>3457</v>
      </c>
      <c r="C235" s="158">
        <f>224+574</f>
        <v>798</v>
      </c>
    </row>
    <row r="236" spans="1:3" s="21" customFormat="1" ht="12.75">
      <c r="A236" s="217" t="s">
        <v>928</v>
      </c>
      <c r="B236" s="158">
        <f>SUM(B237:B238)</f>
        <v>180</v>
      </c>
      <c r="C236" s="158">
        <f>SUM(C237:C238)</f>
        <v>180</v>
      </c>
    </row>
    <row r="237" spans="1:3" s="21" customFormat="1" ht="12.75">
      <c r="A237" s="228" t="s">
        <v>860</v>
      </c>
      <c r="B237" s="160">
        <v>180</v>
      </c>
      <c r="C237" s="160">
        <v>180</v>
      </c>
    </row>
    <row r="238" spans="1:3" s="21" customFormat="1" ht="12.75" hidden="1">
      <c r="A238" s="228" t="s">
        <v>930</v>
      </c>
      <c r="B238" s="160"/>
      <c r="C238" s="160"/>
    </row>
    <row r="239" spans="1:3" s="21" customFormat="1" ht="12.75" hidden="1">
      <c r="A239" s="217" t="s">
        <v>929</v>
      </c>
      <c r="B239" s="158">
        <f>SUM(B240:B241)</f>
        <v>0</v>
      </c>
      <c r="C239" s="158">
        <f>SUM(C240:C241)</f>
        <v>0</v>
      </c>
    </row>
    <row r="240" spans="1:3" s="21" customFormat="1" ht="12.75" hidden="1">
      <c r="A240" s="228"/>
      <c r="B240" s="160"/>
      <c r="C240" s="160"/>
    </row>
    <row r="241" spans="1:3" s="21" customFormat="1" ht="12.75" hidden="1">
      <c r="A241" s="228" t="s">
        <v>930</v>
      </c>
      <c r="B241" s="160"/>
      <c r="C241" s="160"/>
    </row>
    <row r="242" spans="1:3" s="21" customFormat="1" ht="12.75" hidden="1">
      <c r="A242" s="217" t="s">
        <v>931</v>
      </c>
      <c r="B242" s="158"/>
      <c r="C242" s="158"/>
    </row>
    <row r="243" spans="1:3" s="21" customFormat="1" ht="12.75" hidden="1">
      <c r="A243" s="217" t="s">
        <v>932</v>
      </c>
      <c r="B243" s="158">
        <f>SUM(B244:B245)</f>
        <v>0</v>
      </c>
      <c r="C243" s="158">
        <f>SUM(C244:C245)</f>
        <v>0</v>
      </c>
    </row>
    <row r="244" spans="1:3" s="21" customFormat="1" ht="12.75" hidden="1">
      <c r="A244" s="228" t="s">
        <v>729</v>
      </c>
      <c r="B244" s="160"/>
      <c r="C244" s="160"/>
    </row>
    <row r="245" spans="1:3" s="21" customFormat="1" ht="12.75" hidden="1">
      <c r="A245" s="228" t="s">
        <v>729</v>
      </c>
      <c r="B245" s="160"/>
      <c r="C245" s="160"/>
    </row>
    <row r="246" spans="1:3" s="21" customFormat="1" ht="13.5" customHeight="1" thickBot="1">
      <c r="A246" s="229" t="s">
        <v>333</v>
      </c>
      <c r="B246" s="161">
        <f>B194+B202+B210+B218+B234</f>
        <v>623048</v>
      </c>
      <c r="C246" s="161">
        <f>C194+C202+C210+C218+C234</f>
        <v>627101</v>
      </c>
    </row>
    <row r="247" spans="2:3" s="21" customFormat="1" ht="12.75">
      <c r="B247" s="34"/>
      <c r="C247" s="34"/>
    </row>
    <row r="248" spans="2:3" s="21" customFormat="1" ht="12.75">
      <c r="B248" s="34"/>
      <c r="C248" s="34"/>
    </row>
    <row r="249" spans="1:3" s="21" customFormat="1" ht="12.75">
      <c r="A249" s="578" t="s">
        <v>547</v>
      </c>
      <c r="B249" s="34"/>
      <c r="C249" s="34"/>
    </row>
    <row r="250" spans="2:3" s="21" customFormat="1" ht="12.75">
      <c r="B250" s="34"/>
      <c r="C250" s="34"/>
    </row>
    <row r="251" spans="2:3" s="21" customFormat="1" ht="12.75">
      <c r="B251" s="34"/>
      <c r="C251" s="34"/>
    </row>
    <row r="252" spans="1:3" s="21" customFormat="1" ht="17.25" thickBot="1">
      <c r="A252" s="38" t="s">
        <v>102</v>
      </c>
      <c r="B252" s="35"/>
      <c r="C252" s="35"/>
    </row>
    <row r="253" spans="1:3" s="21" customFormat="1" ht="24" customHeight="1">
      <c r="A253" s="283" t="s">
        <v>728</v>
      </c>
      <c r="B253" s="60" t="e">
        <f>B4</f>
        <v>#REF!</v>
      </c>
      <c r="C253" s="60" t="e">
        <f>C4</f>
        <v>#REF!</v>
      </c>
    </row>
    <row r="254" spans="1:3" s="21" customFormat="1" ht="12.75">
      <c r="A254" s="230" t="s">
        <v>71</v>
      </c>
      <c r="B254" s="162"/>
      <c r="C254" s="162"/>
    </row>
    <row r="255" spans="1:3" s="21" customFormat="1" ht="12.75">
      <c r="A255" s="231" t="s">
        <v>50</v>
      </c>
      <c r="B255" s="151">
        <f>C268</f>
        <v>626921</v>
      </c>
      <c r="C255" s="151">
        <f>583663-180+475</f>
        <v>583958</v>
      </c>
    </row>
    <row r="256" spans="1:3" s="21" customFormat="1" ht="12.75">
      <c r="A256" s="221" t="s">
        <v>799</v>
      </c>
      <c r="B256" s="151">
        <f>SUM(B257:B261)</f>
        <v>2680</v>
      </c>
      <c r="C256" s="151">
        <f>SUM(C257:C261)</f>
        <v>483373</v>
      </c>
    </row>
    <row r="257" spans="1:3" s="21" customFormat="1" ht="12.75">
      <c r="A257" s="232" t="s">
        <v>714</v>
      </c>
      <c r="B257" s="151">
        <v>17</v>
      </c>
      <c r="C257" s="151">
        <v>34431</v>
      </c>
    </row>
    <row r="258" spans="1:3" s="21" customFormat="1" ht="12.75">
      <c r="A258" s="221" t="s">
        <v>72</v>
      </c>
      <c r="B258" s="151">
        <v>0</v>
      </c>
      <c r="C258" s="151">
        <v>434842</v>
      </c>
    </row>
    <row r="259" spans="1:3" s="21" customFormat="1" ht="12.75" hidden="1">
      <c r="A259" s="221" t="s">
        <v>858</v>
      </c>
      <c r="B259" s="151"/>
      <c r="C259" s="151"/>
    </row>
    <row r="260" spans="1:3" s="21" customFormat="1" ht="12.75">
      <c r="A260" s="221" t="s">
        <v>857</v>
      </c>
      <c r="B260" s="151">
        <v>2521</v>
      </c>
      <c r="C260" s="151">
        <v>13716</v>
      </c>
    </row>
    <row r="261" spans="1:3" s="21" customFormat="1" ht="12.75">
      <c r="A261" s="231" t="s">
        <v>353</v>
      </c>
      <c r="B261" s="151">
        <v>142</v>
      </c>
      <c r="C261" s="151">
        <f>285+574-475</f>
        <v>384</v>
      </c>
    </row>
    <row r="262" spans="1:3" s="21" customFormat="1" ht="12.75">
      <c r="A262" s="221" t="s">
        <v>635</v>
      </c>
      <c r="B262" s="151">
        <f>SUM(B263:B267)</f>
        <v>6733</v>
      </c>
      <c r="C262" s="151">
        <f>SUM(C263:C267)</f>
        <v>440410</v>
      </c>
    </row>
    <row r="263" spans="1:3" s="21" customFormat="1" ht="12.75">
      <c r="A263" s="221" t="s">
        <v>73</v>
      </c>
      <c r="B263" s="151">
        <v>3059</v>
      </c>
      <c r="C263" s="151">
        <v>6190</v>
      </c>
    </row>
    <row r="264" spans="1:3" s="21" customFormat="1" ht="12.75">
      <c r="A264" s="221" t="s">
        <v>74</v>
      </c>
      <c r="B264" s="151">
        <v>0</v>
      </c>
      <c r="C264" s="151">
        <v>0</v>
      </c>
    </row>
    <row r="265" spans="1:3" s="21" customFormat="1" ht="12.75" hidden="1">
      <c r="A265" s="231" t="s">
        <v>858</v>
      </c>
      <c r="B265" s="151"/>
      <c r="C265" s="151"/>
    </row>
    <row r="266" spans="1:3" s="21" customFormat="1" ht="12.75" hidden="1">
      <c r="A266" s="231" t="s">
        <v>859</v>
      </c>
      <c r="B266" s="151"/>
      <c r="C266" s="151"/>
    </row>
    <row r="267" spans="1:3" s="21" customFormat="1" ht="12.75">
      <c r="A267" s="231" t="s">
        <v>283</v>
      </c>
      <c r="B267" s="151">
        <v>3674</v>
      </c>
      <c r="C267" s="151">
        <v>434220</v>
      </c>
    </row>
    <row r="268" spans="1:3" s="21" customFormat="1" ht="12.75">
      <c r="A268" s="222" t="s">
        <v>854</v>
      </c>
      <c r="B268" s="150">
        <f>B255+B256-B262</f>
        <v>622868</v>
      </c>
      <c r="C268" s="150">
        <f>C255+C256-C262</f>
        <v>626921</v>
      </c>
    </row>
    <row r="269" spans="1:3" s="21" customFormat="1" ht="12.75">
      <c r="A269" s="233" t="s">
        <v>307</v>
      </c>
      <c r="B269" s="151"/>
      <c r="C269" s="151"/>
    </row>
    <row r="270" spans="1:3" s="21" customFormat="1" ht="12.75">
      <c r="A270" s="231" t="s">
        <v>50</v>
      </c>
      <c r="B270" s="151">
        <f>C279</f>
        <v>180</v>
      </c>
      <c r="C270" s="151">
        <v>180</v>
      </c>
    </row>
    <row r="271" spans="1:3" s="21" customFormat="1" ht="12.75">
      <c r="A271" s="221" t="s">
        <v>799</v>
      </c>
      <c r="B271" s="151">
        <f>SUM(B272:B274)</f>
        <v>0</v>
      </c>
      <c r="C271" s="151">
        <f>SUM(C272:C274)</f>
        <v>0</v>
      </c>
    </row>
    <row r="272" spans="1:3" s="21" customFormat="1" ht="12.75" hidden="1">
      <c r="A272" s="232" t="s">
        <v>714</v>
      </c>
      <c r="B272" s="151"/>
      <c r="C272" s="151"/>
    </row>
    <row r="273" spans="1:3" s="21" customFormat="1" ht="12.75" hidden="1">
      <c r="A273" s="221" t="s">
        <v>72</v>
      </c>
      <c r="B273" s="151"/>
      <c r="C273" s="151"/>
    </row>
    <row r="274" spans="1:3" s="21" customFormat="1" ht="12.75" hidden="1">
      <c r="A274" s="231" t="s">
        <v>353</v>
      </c>
      <c r="B274" s="151"/>
      <c r="C274" s="151"/>
    </row>
    <row r="275" spans="1:3" s="21" customFormat="1" ht="12.75">
      <c r="A275" s="221" t="s">
        <v>635</v>
      </c>
      <c r="B275" s="151">
        <f>SUM(B276:B278)</f>
        <v>0</v>
      </c>
      <c r="C275" s="151">
        <f>SUM(C276:C278)</f>
        <v>0</v>
      </c>
    </row>
    <row r="276" spans="1:3" s="21" customFormat="1" ht="12.75" hidden="1">
      <c r="A276" s="221" t="s">
        <v>73</v>
      </c>
      <c r="B276" s="151"/>
      <c r="C276" s="151"/>
    </row>
    <row r="277" spans="1:3" s="21" customFormat="1" ht="12.75" hidden="1">
      <c r="A277" s="221" t="s">
        <v>74</v>
      </c>
      <c r="B277" s="151"/>
      <c r="C277" s="151"/>
    </row>
    <row r="278" spans="1:3" s="21" customFormat="1" ht="12.75" hidden="1">
      <c r="A278" s="231" t="s">
        <v>353</v>
      </c>
      <c r="B278" s="151"/>
      <c r="C278" s="151"/>
    </row>
    <row r="279" spans="1:3" s="21" customFormat="1" ht="12.75">
      <c r="A279" s="222" t="s">
        <v>854</v>
      </c>
      <c r="B279" s="150">
        <f>B270+B271-B275</f>
        <v>180</v>
      </c>
      <c r="C279" s="150">
        <f>C270+C271-C275</f>
        <v>180</v>
      </c>
    </row>
    <row r="280" spans="1:3" s="21" customFormat="1" ht="12.75">
      <c r="A280" s="233" t="s">
        <v>308</v>
      </c>
      <c r="B280" s="151"/>
      <c r="C280" s="151"/>
    </row>
    <row r="281" spans="1:3" s="21" customFormat="1" ht="12.75">
      <c r="A281" s="231" t="s">
        <v>50</v>
      </c>
      <c r="B281" s="151">
        <v>0</v>
      </c>
      <c r="C281" s="151">
        <v>0</v>
      </c>
    </row>
    <row r="282" spans="1:3" s="21" customFormat="1" ht="12.75">
      <c r="A282" s="221" t="s">
        <v>799</v>
      </c>
      <c r="B282" s="151">
        <f>SUM(B283:B285)</f>
        <v>0</v>
      </c>
      <c r="C282" s="151">
        <f>SUM(C283:C285)</f>
        <v>0</v>
      </c>
    </row>
    <row r="283" spans="1:3" s="21" customFormat="1" ht="12.75" hidden="1">
      <c r="A283" s="232" t="s">
        <v>714</v>
      </c>
      <c r="B283" s="151"/>
      <c r="C283" s="151"/>
    </row>
    <row r="284" spans="1:3" s="21" customFormat="1" ht="12.75" hidden="1">
      <c r="A284" s="221" t="s">
        <v>72</v>
      </c>
      <c r="B284" s="151"/>
      <c r="C284" s="151"/>
    </row>
    <row r="285" spans="1:3" s="21" customFormat="1" ht="12.75" hidden="1">
      <c r="A285" s="231" t="s">
        <v>353</v>
      </c>
      <c r="B285" s="151"/>
      <c r="C285" s="151"/>
    </row>
    <row r="286" spans="1:3" s="21" customFormat="1" ht="12.75">
      <c r="A286" s="221" t="s">
        <v>635</v>
      </c>
      <c r="B286" s="151">
        <f>SUM(B287:B289)</f>
        <v>0</v>
      </c>
      <c r="C286" s="151">
        <f>SUM(C287:C289)</f>
        <v>0</v>
      </c>
    </row>
    <row r="287" spans="1:3" s="21" customFormat="1" ht="12.75" hidden="1">
      <c r="A287" s="221" t="s">
        <v>73</v>
      </c>
      <c r="B287" s="151"/>
      <c r="C287" s="151"/>
    </row>
    <row r="288" spans="1:3" s="21" customFormat="1" ht="12.75" hidden="1">
      <c r="A288" s="221" t="s">
        <v>74</v>
      </c>
      <c r="B288" s="151"/>
      <c r="C288" s="151"/>
    </row>
    <row r="289" spans="1:3" s="21" customFormat="1" ht="12.75" hidden="1">
      <c r="A289" s="231" t="s">
        <v>353</v>
      </c>
      <c r="B289" s="151"/>
      <c r="C289" s="151"/>
    </row>
    <row r="290" spans="1:3" s="21" customFormat="1" ht="12.75">
      <c r="A290" s="222" t="s">
        <v>854</v>
      </c>
      <c r="B290" s="150">
        <f>B281+B282-B286</f>
        <v>0</v>
      </c>
      <c r="C290" s="150">
        <f>C281+C282-C286</f>
        <v>0</v>
      </c>
    </row>
    <row r="291" spans="1:3" s="21" customFormat="1" ht="12.75">
      <c r="A291" s="233" t="s">
        <v>309</v>
      </c>
      <c r="B291" s="151"/>
      <c r="C291" s="151"/>
    </row>
    <row r="292" spans="1:3" s="21" customFormat="1" ht="12.75">
      <c r="A292" s="231" t="s">
        <v>50</v>
      </c>
      <c r="B292" s="151">
        <v>0</v>
      </c>
      <c r="C292" s="151">
        <v>0</v>
      </c>
    </row>
    <row r="293" spans="1:3" s="21" customFormat="1" ht="12.75">
      <c r="A293" s="221" t="s">
        <v>799</v>
      </c>
      <c r="B293" s="151">
        <f>SUM(B294:B296)</f>
        <v>0</v>
      </c>
      <c r="C293" s="151">
        <f>SUM(C294:C296)</f>
        <v>0</v>
      </c>
    </row>
    <row r="294" spans="1:3" s="21" customFormat="1" ht="12.75" hidden="1">
      <c r="A294" s="232" t="s">
        <v>714</v>
      </c>
      <c r="B294" s="151"/>
      <c r="C294" s="151"/>
    </row>
    <row r="295" spans="1:3" s="21" customFormat="1" ht="12.75" hidden="1">
      <c r="A295" s="221" t="s">
        <v>72</v>
      </c>
      <c r="B295" s="151"/>
      <c r="C295" s="151"/>
    </row>
    <row r="296" spans="1:3" s="21" customFormat="1" ht="12.75" hidden="1">
      <c r="A296" s="231" t="s">
        <v>353</v>
      </c>
      <c r="B296" s="151"/>
      <c r="C296" s="151"/>
    </row>
    <row r="297" spans="1:3" s="21" customFormat="1" ht="12.75">
      <c r="A297" s="221" t="s">
        <v>635</v>
      </c>
      <c r="B297" s="151">
        <f>SUM(B298:B300)</f>
        <v>0</v>
      </c>
      <c r="C297" s="151">
        <f>SUM(C298:C300)</f>
        <v>0</v>
      </c>
    </row>
    <row r="298" spans="1:3" s="21" customFormat="1" ht="12.75" hidden="1">
      <c r="A298" s="221" t="s">
        <v>73</v>
      </c>
      <c r="B298" s="151"/>
      <c r="C298" s="151"/>
    </row>
    <row r="299" spans="1:3" s="21" customFormat="1" ht="12.75" hidden="1">
      <c r="A299" s="221" t="s">
        <v>74</v>
      </c>
      <c r="B299" s="151"/>
      <c r="C299" s="151"/>
    </row>
    <row r="300" spans="1:3" s="21" customFormat="1" ht="12.75" hidden="1">
      <c r="A300" s="231" t="s">
        <v>353</v>
      </c>
      <c r="B300" s="151"/>
      <c r="C300" s="151"/>
    </row>
    <row r="301" spans="1:3" s="21" customFormat="1" ht="12.75">
      <c r="A301" s="222" t="s">
        <v>854</v>
      </c>
      <c r="B301" s="150">
        <f>B292+B293-B297</f>
        <v>0</v>
      </c>
      <c r="C301" s="150">
        <f>C292+C293-C297</f>
        <v>0</v>
      </c>
    </row>
    <row r="302" spans="1:3" s="21" customFormat="1" ht="12.75">
      <c r="A302" s="230" t="s">
        <v>310</v>
      </c>
      <c r="B302" s="151"/>
      <c r="C302" s="151"/>
    </row>
    <row r="303" spans="1:3" s="21" customFormat="1" ht="12.75">
      <c r="A303" s="231" t="s">
        <v>50</v>
      </c>
      <c r="B303" s="151">
        <v>0</v>
      </c>
      <c r="C303" s="151">
        <v>0</v>
      </c>
    </row>
    <row r="304" spans="1:3" s="21" customFormat="1" ht="12.75">
      <c r="A304" s="221" t="s">
        <v>799</v>
      </c>
      <c r="B304" s="151">
        <f>SUM(B305:B307)</f>
        <v>0</v>
      </c>
      <c r="C304" s="151">
        <f>SUM(C305:C307)</f>
        <v>0</v>
      </c>
    </row>
    <row r="305" spans="1:3" s="21" customFormat="1" ht="12.75" hidden="1">
      <c r="A305" s="232" t="s">
        <v>714</v>
      </c>
      <c r="B305" s="151"/>
      <c r="C305" s="151"/>
    </row>
    <row r="306" spans="1:3" s="21" customFormat="1" ht="12.75" hidden="1">
      <c r="A306" s="221" t="s">
        <v>72</v>
      </c>
      <c r="B306" s="151"/>
      <c r="C306" s="151"/>
    </row>
    <row r="307" spans="1:3" s="21" customFormat="1" ht="12.75" hidden="1">
      <c r="A307" s="231" t="s">
        <v>353</v>
      </c>
      <c r="B307" s="151"/>
      <c r="C307" s="151"/>
    </row>
    <row r="308" spans="1:3" s="21" customFormat="1" ht="12.75">
      <c r="A308" s="221" t="s">
        <v>635</v>
      </c>
      <c r="B308" s="151">
        <f>SUM(B309:B311)</f>
        <v>0</v>
      </c>
      <c r="C308" s="151">
        <f>SUM(C309:C311)</f>
        <v>0</v>
      </c>
    </row>
    <row r="309" spans="1:3" s="21" customFormat="1" ht="12.75" hidden="1">
      <c r="A309" s="221" t="s">
        <v>73</v>
      </c>
      <c r="B309" s="151"/>
      <c r="C309" s="151"/>
    </row>
    <row r="310" spans="1:3" s="21" customFormat="1" ht="12.75" hidden="1">
      <c r="A310" s="221" t="s">
        <v>74</v>
      </c>
      <c r="B310" s="151"/>
      <c r="C310" s="151"/>
    </row>
    <row r="311" spans="1:3" s="21" customFormat="1" ht="12.75" hidden="1">
      <c r="A311" s="231" t="s">
        <v>353</v>
      </c>
      <c r="B311" s="151"/>
      <c r="C311" s="151"/>
    </row>
    <row r="312" spans="1:3" s="21" customFormat="1" ht="12.75">
      <c r="A312" s="222" t="s">
        <v>854</v>
      </c>
      <c r="B312" s="150">
        <f>B303+B304-B308</f>
        <v>0</v>
      </c>
      <c r="C312" s="150">
        <f>C303+C304-C308</f>
        <v>0</v>
      </c>
    </row>
    <row r="313" spans="1:3" s="21" customFormat="1" ht="13.5" thickBot="1">
      <c r="A313" s="234" t="s">
        <v>333</v>
      </c>
      <c r="B313" s="147">
        <f>B268+B279+B290+B301+B312</f>
        <v>623048</v>
      </c>
      <c r="C313" s="147">
        <f>C268+C279+C290+C301+C312</f>
        <v>627101</v>
      </c>
    </row>
    <row r="314" spans="2:3" s="21" customFormat="1" ht="12.75" hidden="1">
      <c r="B314" s="199" t="str">
        <f>IF(B313=B246,"OK","BŁĄD")</f>
        <v>OK</v>
      </c>
      <c r="C314" s="199" t="str">
        <f>IF(C313=C246,"OK","BŁĄD")</f>
        <v>OK</v>
      </c>
    </row>
    <row r="315" spans="2:3" s="21" customFormat="1" ht="12.75">
      <c r="B315" s="199"/>
      <c r="C315" s="199"/>
    </row>
    <row r="316" s="21" customFormat="1" ht="12.75">
      <c r="A316" s="578" t="s">
        <v>548</v>
      </c>
    </row>
    <row r="317" s="21" customFormat="1" ht="12.75"/>
    <row r="318" s="21" customFormat="1" ht="12.75"/>
    <row r="319" s="21" customFormat="1" ht="12.75"/>
    <row r="320" s="21" customFormat="1" ht="12.75">
      <c r="A320" s="578" t="s">
        <v>549</v>
      </c>
    </row>
    <row r="321" s="21" customFormat="1" ht="12.75"/>
    <row r="322" s="21" customFormat="1" ht="28.5" customHeight="1">
      <c r="A322" s="568" t="s">
        <v>550</v>
      </c>
    </row>
    <row r="323" s="21" customFormat="1" ht="12.75" hidden="1"/>
    <row r="324" s="21" customFormat="1" ht="12.75" hidden="1"/>
    <row r="325" spans="1:3" s="21" customFormat="1" ht="17.25" thickBot="1">
      <c r="A325" s="38" t="s">
        <v>473</v>
      </c>
      <c r="B325" s="35"/>
      <c r="C325" s="35"/>
    </row>
    <row r="326" spans="1:3" s="21" customFormat="1" ht="35.25" customHeight="1">
      <c r="A326" s="283" t="s">
        <v>940</v>
      </c>
      <c r="B326" s="60" t="e">
        <f>B4</f>
        <v>#REF!</v>
      </c>
      <c r="C326" s="60" t="e">
        <f>C4</f>
        <v>#REF!</v>
      </c>
    </row>
    <row r="327" spans="1:3" s="21" customFormat="1" ht="12.75">
      <c r="A327" s="235" t="s">
        <v>610</v>
      </c>
      <c r="B327" s="150">
        <v>621952</v>
      </c>
      <c r="C327" s="150">
        <f>612438+13716</f>
        <v>626154</v>
      </c>
    </row>
    <row r="328" spans="1:3" s="21" customFormat="1" ht="12.75">
      <c r="A328" s="235" t="s">
        <v>246</v>
      </c>
      <c r="B328" s="150">
        <f>B330+B332+B333</f>
        <v>1096</v>
      </c>
      <c r="C328" s="150">
        <f>C330+C332+C333</f>
        <v>947</v>
      </c>
    </row>
    <row r="329" spans="1:3" s="21" customFormat="1" ht="12.75">
      <c r="A329" s="236" t="s">
        <v>870</v>
      </c>
      <c r="B329" s="151">
        <v>5</v>
      </c>
      <c r="C329" s="151">
        <v>0</v>
      </c>
    </row>
    <row r="330" spans="1:3" s="21" customFormat="1" ht="12.75">
      <c r="A330" s="236" t="s">
        <v>47</v>
      </c>
      <c r="B330" s="151">
        <v>17</v>
      </c>
      <c r="C330" s="151">
        <v>0</v>
      </c>
    </row>
    <row r="331" spans="1:3" s="21" customFormat="1" ht="12.75">
      <c r="A331" s="236" t="s">
        <v>715</v>
      </c>
      <c r="B331" s="299">
        <v>204</v>
      </c>
      <c r="C331" s="299">
        <f>6+198</f>
        <v>204</v>
      </c>
    </row>
    <row r="332" spans="1:3" s="21" customFormat="1" ht="12.75">
      <c r="A332" s="236" t="s">
        <v>47</v>
      </c>
      <c r="B332" s="151">
        <v>964</v>
      </c>
      <c r="C332" s="151">
        <f>248+574</f>
        <v>822</v>
      </c>
    </row>
    <row r="333" spans="1:3" s="21" customFormat="1" ht="12.75">
      <c r="A333" s="236" t="s">
        <v>716</v>
      </c>
      <c r="B333" s="151">
        <v>115</v>
      </c>
      <c r="C333" s="151">
        <f>123+2</f>
        <v>125</v>
      </c>
    </row>
    <row r="334" spans="1:3" s="21" customFormat="1" ht="24.75" thickBot="1">
      <c r="A334" s="234" t="s">
        <v>717</v>
      </c>
      <c r="B334" s="149">
        <f>B327+B328</f>
        <v>623048</v>
      </c>
      <c r="C334" s="149">
        <f>C327+C328</f>
        <v>627101</v>
      </c>
    </row>
    <row r="335" spans="1:3" s="21" customFormat="1" ht="12.75" hidden="1">
      <c r="A335" s="36"/>
      <c r="B335" s="199" t="str">
        <f>IF(B334=B268+B279+B290,"OK","BŁĄD")</f>
        <v>OK</v>
      </c>
      <c r="C335" s="199" t="str">
        <f>IF(C334=C268+C279+C290,"OK","BŁĄD")</f>
        <v>OK</v>
      </c>
    </row>
    <row r="336" spans="1:3" s="21" customFormat="1" ht="12.75">
      <c r="A336" s="36"/>
      <c r="B336" s="199"/>
      <c r="C336" s="199"/>
    </row>
    <row r="337" spans="1:3" s="21" customFormat="1" ht="17.25" thickBot="1">
      <c r="A337" s="38" t="s">
        <v>510</v>
      </c>
      <c r="B337" s="35"/>
      <c r="C337" s="35"/>
    </row>
    <row r="338" spans="1:3" s="21" customFormat="1" ht="24" customHeight="1">
      <c r="A338" s="283" t="s">
        <v>546</v>
      </c>
      <c r="B338" s="60" t="e">
        <f>B4</f>
        <v>#REF!</v>
      </c>
      <c r="C338" s="60" t="e">
        <f>C4</f>
        <v>#REF!</v>
      </c>
    </row>
    <row r="339" spans="1:3" s="21" customFormat="1" ht="24">
      <c r="A339" s="222" t="s">
        <v>597</v>
      </c>
      <c r="B339" s="163">
        <f>B340+B344+B348</f>
        <v>180</v>
      </c>
      <c r="C339" s="163">
        <f>C340+C344+C348</f>
        <v>180</v>
      </c>
    </row>
    <row r="340" spans="1:3" s="21" customFormat="1" ht="12.75">
      <c r="A340" s="213" t="s">
        <v>598</v>
      </c>
      <c r="B340" s="151">
        <v>0</v>
      </c>
      <c r="C340" s="151">
        <v>0</v>
      </c>
    </row>
    <row r="341" spans="1:3" s="21" customFormat="1" ht="12.75" hidden="1">
      <c r="A341" s="213" t="s">
        <v>718</v>
      </c>
      <c r="B341" s="151"/>
      <c r="C341" s="151"/>
    </row>
    <row r="342" spans="1:3" s="21" customFormat="1" ht="12.75" hidden="1">
      <c r="A342" s="213" t="s">
        <v>719</v>
      </c>
      <c r="B342" s="151"/>
      <c r="C342" s="151"/>
    </row>
    <row r="343" spans="1:3" s="21" customFormat="1" ht="12.75" hidden="1">
      <c r="A343" s="213" t="s">
        <v>599</v>
      </c>
      <c r="B343" s="151"/>
      <c r="C343" s="151"/>
    </row>
    <row r="344" spans="1:3" s="21" customFormat="1" ht="12.75">
      <c r="A344" s="213" t="s">
        <v>600</v>
      </c>
      <c r="B344" s="151">
        <v>180</v>
      </c>
      <c r="C344" s="151">
        <v>180</v>
      </c>
    </row>
    <row r="345" spans="1:3" s="21" customFormat="1" ht="12.75" hidden="1">
      <c r="A345" s="213" t="s">
        <v>718</v>
      </c>
      <c r="B345" s="151"/>
      <c r="C345" s="151"/>
    </row>
    <row r="346" spans="1:3" s="21" customFormat="1" ht="12.75">
      <c r="A346" s="213" t="s">
        <v>719</v>
      </c>
      <c r="B346" s="151">
        <v>180</v>
      </c>
      <c r="C346" s="151">
        <v>180</v>
      </c>
    </row>
    <row r="347" spans="1:3" s="21" customFormat="1" ht="12.75">
      <c r="A347" s="213" t="s">
        <v>599</v>
      </c>
      <c r="B347" s="151">
        <v>180</v>
      </c>
      <c r="C347" s="151">
        <v>180</v>
      </c>
    </row>
    <row r="348" spans="1:3" s="21" customFormat="1" ht="12.75">
      <c r="A348" s="213" t="s">
        <v>601</v>
      </c>
      <c r="B348" s="151">
        <v>0</v>
      </c>
      <c r="C348" s="151">
        <v>0</v>
      </c>
    </row>
    <row r="349" spans="1:3" s="21" customFormat="1" ht="12.75" hidden="1">
      <c r="A349" s="213" t="s">
        <v>720</v>
      </c>
      <c r="B349" s="151"/>
      <c r="C349" s="151"/>
    </row>
    <row r="350" spans="1:3" s="21" customFormat="1" ht="12.75" hidden="1">
      <c r="A350" s="213" t="s">
        <v>718</v>
      </c>
      <c r="B350" s="151"/>
      <c r="C350" s="151"/>
    </row>
    <row r="351" spans="1:3" s="21" customFormat="1" ht="12.75" hidden="1">
      <c r="A351" s="213" t="s">
        <v>719</v>
      </c>
      <c r="B351" s="151"/>
      <c r="C351" s="151"/>
    </row>
    <row r="352" spans="1:3" s="21" customFormat="1" ht="12.75" hidden="1">
      <c r="A352" s="213" t="s">
        <v>599</v>
      </c>
      <c r="B352" s="151"/>
      <c r="C352" s="151"/>
    </row>
    <row r="353" spans="1:3" s="21" customFormat="1" ht="24">
      <c r="A353" s="235" t="s">
        <v>721</v>
      </c>
      <c r="B353" s="163">
        <f>B354+B358+B362</f>
        <v>0</v>
      </c>
      <c r="C353" s="163">
        <f>C354+C358+C362</f>
        <v>0</v>
      </c>
    </row>
    <row r="354" spans="1:3" s="21" customFormat="1" ht="12.75">
      <c r="A354" s="213" t="s">
        <v>722</v>
      </c>
      <c r="B354" s="151">
        <v>0</v>
      </c>
      <c r="C354" s="151">
        <v>0</v>
      </c>
    </row>
    <row r="355" spans="1:3" s="21" customFormat="1" ht="12.75" hidden="1">
      <c r="A355" s="213" t="s">
        <v>718</v>
      </c>
      <c r="B355" s="151"/>
      <c r="C355" s="151"/>
    </row>
    <row r="356" spans="1:3" s="21" customFormat="1" ht="12.75" hidden="1">
      <c r="A356" s="213" t="s">
        <v>719</v>
      </c>
      <c r="B356" s="151"/>
      <c r="C356" s="151"/>
    </row>
    <row r="357" spans="1:3" s="21" customFormat="1" ht="12.75" hidden="1">
      <c r="A357" s="213" t="s">
        <v>599</v>
      </c>
      <c r="B357" s="151"/>
      <c r="C357" s="151"/>
    </row>
    <row r="358" spans="1:3" s="21" customFormat="1" ht="12.75">
      <c r="A358" s="213" t="s">
        <v>723</v>
      </c>
      <c r="B358" s="151">
        <f>B361</f>
        <v>0</v>
      </c>
      <c r="C358" s="151"/>
    </row>
    <row r="359" spans="1:3" s="21" customFormat="1" ht="12.75" hidden="1">
      <c r="A359" s="213" t="s">
        <v>718</v>
      </c>
      <c r="B359" s="151"/>
      <c r="C359" s="151"/>
    </row>
    <row r="360" spans="1:3" s="21" customFormat="1" ht="12.75" hidden="1">
      <c r="A360" s="213" t="s">
        <v>719</v>
      </c>
      <c r="B360" s="151"/>
      <c r="C360" s="151"/>
    </row>
    <row r="361" spans="1:3" s="21" customFormat="1" ht="12.75" hidden="1">
      <c r="A361" s="213" t="s">
        <v>599</v>
      </c>
      <c r="B361" s="151"/>
      <c r="C361" s="151"/>
    </row>
    <row r="362" spans="1:3" s="21" customFormat="1" ht="12.75">
      <c r="A362" s="213" t="s">
        <v>389</v>
      </c>
      <c r="B362" s="151">
        <v>0</v>
      </c>
      <c r="C362" s="151">
        <v>0</v>
      </c>
    </row>
    <row r="363" spans="1:3" s="21" customFormat="1" ht="12.75" hidden="1">
      <c r="A363" s="213" t="s">
        <v>720</v>
      </c>
      <c r="B363" s="151"/>
      <c r="C363" s="151"/>
    </row>
    <row r="364" spans="1:3" s="21" customFormat="1" ht="12.75" hidden="1">
      <c r="A364" s="213" t="s">
        <v>718</v>
      </c>
      <c r="B364" s="151"/>
      <c r="C364" s="151"/>
    </row>
    <row r="365" spans="1:3" s="21" customFormat="1" ht="12.75" hidden="1">
      <c r="A365" s="213" t="s">
        <v>719</v>
      </c>
      <c r="B365" s="151"/>
      <c r="C365" s="151"/>
    </row>
    <row r="366" spans="1:3" s="21" customFormat="1" ht="12.75" hidden="1">
      <c r="A366" s="213" t="s">
        <v>599</v>
      </c>
      <c r="B366" s="151"/>
      <c r="C366" s="151"/>
    </row>
    <row r="367" spans="1:3" s="21" customFormat="1" ht="24">
      <c r="A367" s="235" t="s">
        <v>224</v>
      </c>
      <c r="B367" s="163">
        <f>B368+B372+B376</f>
        <v>0</v>
      </c>
      <c r="C367" s="163">
        <f>C368+C372+C376</f>
        <v>0</v>
      </c>
    </row>
    <row r="368" spans="1:3" s="21" customFormat="1" ht="12.75">
      <c r="A368" s="213" t="s">
        <v>722</v>
      </c>
      <c r="B368" s="151">
        <v>0</v>
      </c>
      <c r="C368" s="151">
        <v>0</v>
      </c>
    </row>
    <row r="369" spans="1:3" s="21" customFormat="1" ht="12.75" hidden="1">
      <c r="A369" s="213" t="s">
        <v>718</v>
      </c>
      <c r="B369" s="151"/>
      <c r="C369" s="151"/>
    </row>
    <row r="370" spans="1:3" s="21" customFormat="1" ht="12.75" hidden="1">
      <c r="A370" s="213" t="s">
        <v>719</v>
      </c>
      <c r="B370" s="151"/>
      <c r="C370" s="151"/>
    </row>
    <row r="371" spans="1:3" s="21" customFormat="1" ht="12.75" hidden="1">
      <c r="A371" s="213" t="s">
        <v>599</v>
      </c>
      <c r="B371" s="151"/>
      <c r="C371" s="151"/>
    </row>
    <row r="372" spans="1:3" s="21" customFormat="1" ht="12.75">
      <c r="A372" s="213" t="s">
        <v>723</v>
      </c>
      <c r="B372" s="151">
        <v>0</v>
      </c>
      <c r="C372" s="151">
        <v>0</v>
      </c>
    </row>
    <row r="373" spans="1:3" s="21" customFormat="1" ht="12.75" hidden="1">
      <c r="A373" s="213" t="s">
        <v>718</v>
      </c>
      <c r="B373" s="151"/>
      <c r="C373" s="151"/>
    </row>
    <row r="374" spans="1:3" s="21" customFormat="1" ht="12.75" hidden="1">
      <c r="A374" s="213" t="s">
        <v>719</v>
      </c>
      <c r="B374" s="151"/>
      <c r="C374" s="151"/>
    </row>
    <row r="375" spans="1:3" s="21" customFormat="1" ht="12.75" hidden="1">
      <c r="A375" s="213" t="s">
        <v>599</v>
      </c>
      <c r="B375" s="151"/>
      <c r="C375" s="151"/>
    </row>
    <row r="376" spans="1:3" s="21" customFormat="1" ht="12.75">
      <c r="A376" s="213" t="s">
        <v>389</v>
      </c>
      <c r="B376" s="151">
        <v>0</v>
      </c>
      <c r="C376" s="151">
        <v>0</v>
      </c>
    </row>
    <row r="377" spans="1:3" s="21" customFormat="1" ht="12.75" hidden="1">
      <c r="A377" s="213" t="s">
        <v>720</v>
      </c>
      <c r="B377" s="151"/>
      <c r="C377" s="151"/>
    </row>
    <row r="378" spans="1:3" s="21" customFormat="1" ht="12.75" hidden="1">
      <c r="A378" s="213" t="s">
        <v>718</v>
      </c>
      <c r="B378" s="151"/>
      <c r="C378" s="151"/>
    </row>
    <row r="379" spans="1:3" s="21" customFormat="1" ht="12.75" hidden="1">
      <c r="A379" s="213" t="s">
        <v>719</v>
      </c>
      <c r="B379" s="151"/>
      <c r="C379" s="151"/>
    </row>
    <row r="380" spans="1:3" s="21" customFormat="1" ht="12.75" hidden="1">
      <c r="A380" s="213" t="s">
        <v>599</v>
      </c>
      <c r="B380" s="151"/>
      <c r="C380" s="151"/>
    </row>
    <row r="381" spans="1:3" s="21" customFormat="1" ht="12.75">
      <c r="A381" s="235" t="s">
        <v>395</v>
      </c>
      <c r="B381" s="163">
        <f>B382+B386+B390</f>
        <v>622868</v>
      </c>
      <c r="C381" s="163">
        <f>C382+C386+C390</f>
        <v>626921</v>
      </c>
    </row>
    <row r="382" spans="1:3" s="21" customFormat="1" ht="12.75">
      <c r="A382" s="213" t="s">
        <v>396</v>
      </c>
      <c r="B382" s="151">
        <v>622868</v>
      </c>
      <c r="C382" s="151">
        <v>626921</v>
      </c>
    </row>
    <row r="383" spans="1:3" s="21" customFormat="1" ht="12.75">
      <c r="A383" s="213" t="s">
        <v>718</v>
      </c>
      <c r="B383" s="151">
        <v>-3532</v>
      </c>
      <c r="C383" s="151"/>
    </row>
    <row r="384" spans="1:3" s="21" customFormat="1" ht="12.75">
      <c r="A384" s="213" t="s">
        <v>719</v>
      </c>
      <c r="B384" s="151">
        <v>626921</v>
      </c>
      <c r="C384" s="151">
        <v>583483</v>
      </c>
    </row>
    <row r="385" spans="1:3" s="21" customFormat="1" ht="12.75">
      <c r="A385" s="213" t="s">
        <v>599</v>
      </c>
      <c r="B385" s="151">
        <v>625826</v>
      </c>
      <c r="C385" s="151">
        <v>626921</v>
      </c>
    </row>
    <row r="386" spans="1:3" s="21" customFormat="1" ht="12.75">
      <c r="A386" s="213" t="s">
        <v>600</v>
      </c>
      <c r="B386" s="151">
        <f>SUM(B387:B389)</f>
        <v>0</v>
      </c>
      <c r="C386" s="151">
        <v>0</v>
      </c>
    </row>
    <row r="387" spans="1:3" s="21" customFormat="1" ht="12.75" hidden="1">
      <c r="A387" s="213" t="s">
        <v>718</v>
      </c>
      <c r="B387" s="151"/>
      <c r="C387" s="151"/>
    </row>
    <row r="388" spans="1:3" s="21" customFormat="1" ht="12.75" hidden="1">
      <c r="A388" s="213" t="s">
        <v>719</v>
      </c>
      <c r="B388" s="151"/>
      <c r="C388" s="151"/>
    </row>
    <row r="389" spans="1:3" s="21" customFormat="1" ht="12.75" hidden="1">
      <c r="A389" s="213" t="s">
        <v>599</v>
      </c>
      <c r="B389" s="151"/>
      <c r="C389" s="151"/>
    </row>
    <row r="390" spans="1:3" s="21" customFormat="1" ht="12.75">
      <c r="A390" s="213" t="s">
        <v>601</v>
      </c>
      <c r="B390" s="151">
        <f>B391+B395</f>
        <v>0</v>
      </c>
      <c r="C390" s="151">
        <f>C391+C395</f>
        <v>0</v>
      </c>
    </row>
    <row r="391" spans="1:3" s="21" customFormat="1" ht="12.75" hidden="1">
      <c r="A391" s="213" t="s">
        <v>646</v>
      </c>
      <c r="B391" s="151">
        <f>SUM(B392:B393)</f>
        <v>0</v>
      </c>
      <c r="C391" s="151">
        <f>SUM(C392:C393)</f>
        <v>0</v>
      </c>
    </row>
    <row r="392" spans="1:3" s="21" customFormat="1" ht="12.75" hidden="1">
      <c r="A392" s="213" t="s">
        <v>718</v>
      </c>
      <c r="B392" s="151"/>
      <c r="C392" s="151"/>
    </row>
    <row r="393" spans="1:3" s="21" customFormat="1" ht="12.75" hidden="1">
      <c r="A393" s="213" t="s">
        <v>719</v>
      </c>
      <c r="B393" s="151"/>
      <c r="C393" s="151"/>
    </row>
    <row r="394" spans="1:3" s="21" customFormat="1" ht="12.75" hidden="1">
      <c r="A394" s="213" t="s">
        <v>599</v>
      </c>
      <c r="B394" s="151"/>
      <c r="C394" s="151"/>
    </row>
    <row r="395" spans="1:3" s="21" customFormat="1" ht="12.75" hidden="1">
      <c r="A395" s="213" t="s">
        <v>647</v>
      </c>
      <c r="B395" s="151">
        <f>SUM(B396:B397)</f>
        <v>0</v>
      </c>
      <c r="C395" s="151">
        <f>SUM(C396:C397)</f>
        <v>0</v>
      </c>
    </row>
    <row r="396" spans="1:3" s="21" customFormat="1" ht="12.75" hidden="1">
      <c r="A396" s="213" t="s">
        <v>718</v>
      </c>
      <c r="B396" s="151">
        <f>1-1</f>
        <v>0</v>
      </c>
      <c r="C396" s="151"/>
    </row>
    <row r="397" spans="1:3" s="21" customFormat="1" ht="12.75" hidden="1">
      <c r="A397" s="213" t="s">
        <v>719</v>
      </c>
      <c r="B397" s="151">
        <f>444-444</f>
        <v>0</v>
      </c>
      <c r="C397" s="151">
        <f>442-442</f>
        <v>0</v>
      </c>
    </row>
    <row r="398" spans="1:3" s="21" customFormat="1" ht="12.75" hidden="1">
      <c r="A398" s="213" t="s">
        <v>599</v>
      </c>
      <c r="B398" s="151">
        <f>444-444</f>
        <v>0</v>
      </c>
      <c r="C398" s="151">
        <f>442-442</f>
        <v>0</v>
      </c>
    </row>
    <row r="399" spans="1:3" s="21" customFormat="1" ht="12.75">
      <c r="A399" s="213" t="s">
        <v>413</v>
      </c>
      <c r="B399" s="151">
        <f>B343+B347+B357+B361+B366+B371+B375+B380+B385+B389+B394+B398</f>
        <v>626006</v>
      </c>
      <c r="C399" s="151">
        <f>C343+C347+C357+C361+C366+C371+C375+C380+C385+C389+C394+C398</f>
        <v>627101</v>
      </c>
    </row>
    <row r="400" spans="1:3" s="21" customFormat="1" ht="12.75">
      <c r="A400" s="213" t="s">
        <v>225</v>
      </c>
      <c r="B400" s="299">
        <f>B346+B384</f>
        <v>627101</v>
      </c>
      <c r="C400" s="299">
        <f>C346+C384</f>
        <v>583663</v>
      </c>
    </row>
    <row r="401" spans="1:3" s="21" customFormat="1" ht="12.75">
      <c r="A401" s="213" t="s">
        <v>684</v>
      </c>
      <c r="B401" s="151">
        <f>B341+B345+B350+B355+B359+B364+B369+B373+B378+B383+B387+B392+B396</f>
        <v>-3532</v>
      </c>
      <c r="C401" s="151">
        <f>C341+C345+C350+C355+C359+C364+C369+C373+C378+C383+C387+C392+C396</f>
        <v>0</v>
      </c>
    </row>
    <row r="402" spans="1:3" s="21" customFormat="1" ht="13.5" thickBot="1">
      <c r="A402" s="234" t="s">
        <v>414</v>
      </c>
      <c r="B402" s="165">
        <f>B339+B353+B367+B381</f>
        <v>623048</v>
      </c>
      <c r="C402" s="165">
        <f>C339+C353+C367+C381</f>
        <v>627101</v>
      </c>
    </row>
    <row r="403" spans="1:3" s="21" customFormat="1" ht="12.75" hidden="1">
      <c r="A403" s="36"/>
      <c r="B403" s="199" t="str">
        <f>IF(B402=B268+B279+B290,"OK","BŁĄD")</f>
        <v>OK</v>
      </c>
      <c r="C403" s="199" t="str">
        <f>IF(C402=C268+C279+C290,"OK","BŁĄD")</f>
        <v>OK</v>
      </c>
    </row>
    <row r="404" spans="1:3" s="21" customFormat="1" ht="12.75">
      <c r="A404" s="36"/>
      <c r="B404" s="199"/>
      <c r="C404" s="199"/>
    </row>
    <row r="405" spans="1:3" s="21" customFormat="1" ht="17.25" thickBot="1">
      <c r="A405" s="38" t="s">
        <v>474</v>
      </c>
      <c r="B405" s="56"/>
      <c r="C405" s="35"/>
    </row>
    <row r="406" spans="1:3" s="21" customFormat="1" ht="24" customHeight="1">
      <c r="A406" s="283" t="s">
        <v>322</v>
      </c>
      <c r="B406" s="60" t="e">
        <f>B4</f>
        <v>#REF!</v>
      </c>
      <c r="C406" s="60" t="e">
        <f>C4</f>
        <v>#REF!</v>
      </c>
    </row>
    <row r="407" spans="1:3" s="21" customFormat="1" ht="12.75">
      <c r="A407" s="235" t="s">
        <v>610</v>
      </c>
      <c r="B407" s="150">
        <v>0</v>
      </c>
      <c r="C407" s="150">
        <v>0</v>
      </c>
    </row>
    <row r="408" spans="1:3" s="21" customFormat="1" ht="12.75">
      <c r="A408" s="235" t="s">
        <v>246</v>
      </c>
      <c r="B408" s="150">
        <f>B410+B412+B413</f>
        <v>0</v>
      </c>
      <c r="C408" s="150">
        <f>C410+C412+C413</f>
        <v>0</v>
      </c>
    </row>
    <row r="409" spans="1:3" s="21" customFormat="1" ht="12.75" hidden="1">
      <c r="A409" s="236" t="s">
        <v>870</v>
      </c>
      <c r="B409" s="151"/>
      <c r="C409" s="151"/>
    </row>
    <row r="410" spans="1:3" s="21" customFormat="1" ht="12.75" hidden="1">
      <c r="A410" s="236" t="s">
        <v>47</v>
      </c>
      <c r="B410" s="151"/>
      <c r="C410" s="151"/>
    </row>
    <row r="411" spans="1:3" s="21" customFormat="1" ht="12.75" hidden="1">
      <c r="A411" s="236" t="s">
        <v>715</v>
      </c>
      <c r="B411" s="151"/>
      <c r="C411" s="151"/>
    </row>
    <row r="412" spans="1:3" s="21" customFormat="1" ht="12.75" hidden="1">
      <c r="A412" s="236" t="s">
        <v>47</v>
      </c>
      <c r="B412" s="151"/>
      <c r="C412" s="151"/>
    </row>
    <row r="413" spans="1:3" s="21" customFormat="1" ht="12.75" hidden="1">
      <c r="A413" s="236" t="s">
        <v>716</v>
      </c>
      <c r="B413" s="151"/>
      <c r="C413" s="151"/>
    </row>
    <row r="414" spans="1:3" s="21" customFormat="1" ht="13.5" thickBot="1">
      <c r="A414" s="234" t="s">
        <v>323</v>
      </c>
      <c r="B414" s="165">
        <f>B407+B408</f>
        <v>0</v>
      </c>
      <c r="C414" s="165">
        <f>C407+C408</f>
        <v>0</v>
      </c>
    </row>
    <row r="415" spans="1:3" s="21" customFormat="1" ht="12.75" hidden="1">
      <c r="A415" s="36"/>
      <c r="B415" s="199" t="str">
        <f>IF(B414=B301,"OK","BŁĄD")</f>
        <v>OK</v>
      </c>
      <c r="C415" s="199" t="str">
        <f>IF(C414=C301,"OK","BŁĄD")</f>
        <v>OK</v>
      </c>
    </row>
    <row r="416" spans="1:3" s="21" customFormat="1" ht="12.75">
      <c r="A416" s="36"/>
      <c r="B416" s="199"/>
      <c r="C416" s="199"/>
    </row>
    <row r="417" spans="1:3" s="21" customFormat="1" ht="17.25" thickBot="1">
      <c r="A417" s="38" t="s">
        <v>475</v>
      </c>
      <c r="B417" s="56"/>
      <c r="C417" s="35"/>
    </row>
    <row r="418" spans="1:3" s="21" customFormat="1" ht="15" customHeight="1">
      <c r="A418" s="283" t="s">
        <v>4</v>
      </c>
      <c r="B418" s="60" t="e">
        <f>B4</f>
        <v>#REF!</v>
      </c>
      <c r="C418" s="60" t="e">
        <f>C4</f>
        <v>#REF!</v>
      </c>
    </row>
    <row r="419" spans="1:3" s="21" customFormat="1" ht="12.75" hidden="1">
      <c r="A419" s="213" t="s">
        <v>648</v>
      </c>
      <c r="B419" s="151"/>
      <c r="C419" s="151"/>
    </row>
    <row r="420" spans="1:3" s="21" customFormat="1" ht="12.75" hidden="1">
      <c r="A420" s="213" t="s">
        <v>649</v>
      </c>
      <c r="B420" s="151"/>
      <c r="C420" s="151"/>
    </row>
    <row r="421" spans="1:3" s="21" customFormat="1" ht="12.75" hidden="1">
      <c r="A421" s="236" t="s">
        <v>5</v>
      </c>
      <c r="B421" s="151"/>
      <c r="C421" s="151"/>
    </row>
    <row r="422" spans="1:3" s="21" customFormat="1" ht="12.75" hidden="1">
      <c r="A422" s="236" t="s">
        <v>6</v>
      </c>
      <c r="B422" s="151"/>
      <c r="C422" s="151"/>
    </row>
    <row r="423" spans="1:3" s="21" customFormat="1" ht="12.75" hidden="1">
      <c r="A423" s="236"/>
      <c r="B423" s="151"/>
      <c r="C423" s="151"/>
    </row>
    <row r="424" spans="1:3" s="21" customFormat="1" ht="13.5" thickBot="1">
      <c r="A424" s="234" t="s">
        <v>7</v>
      </c>
      <c r="B424" s="165">
        <f>SUM(B419:B423)</f>
        <v>0</v>
      </c>
      <c r="C424" s="165">
        <f>SUM(C419:C423)</f>
        <v>0</v>
      </c>
    </row>
    <row r="425" spans="1:3" s="21" customFormat="1" ht="12.75">
      <c r="A425" s="37"/>
      <c r="B425" s="143"/>
      <c r="C425" s="143"/>
    </row>
    <row r="426" spans="1:3" s="21" customFormat="1" ht="17.25" thickBot="1">
      <c r="A426" s="38" t="s">
        <v>511</v>
      </c>
      <c r="B426" s="56"/>
      <c r="C426" s="35"/>
    </row>
    <row r="427" spans="1:3" s="21" customFormat="1" ht="24" customHeight="1">
      <c r="A427" s="283" t="s">
        <v>951</v>
      </c>
      <c r="B427" s="60" t="e">
        <f>B4</f>
        <v>#REF!</v>
      </c>
      <c r="C427" s="60" t="e">
        <f>C4</f>
        <v>#REF!</v>
      </c>
    </row>
    <row r="428" spans="1:3" s="21" customFormat="1" ht="12.75">
      <c r="A428" s="237" t="s">
        <v>650</v>
      </c>
      <c r="B428" s="151"/>
      <c r="C428" s="151"/>
    </row>
    <row r="429" spans="1:3" s="21" customFormat="1" ht="12.75">
      <c r="A429" s="213" t="s">
        <v>50</v>
      </c>
      <c r="B429" s="151">
        <v>0</v>
      </c>
      <c r="C429" s="151">
        <v>0</v>
      </c>
    </row>
    <row r="430" spans="1:3" s="21" customFormat="1" ht="12.75">
      <c r="A430" s="213" t="s">
        <v>799</v>
      </c>
      <c r="B430" s="151">
        <f>SUM(B431:B433)</f>
        <v>0</v>
      </c>
      <c r="C430" s="151">
        <f>SUM(C431:C433)</f>
        <v>0</v>
      </c>
    </row>
    <row r="431" spans="1:3" s="21" customFormat="1" ht="12.75" hidden="1">
      <c r="A431" s="213" t="s">
        <v>952</v>
      </c>
      <c r="B431" s="151"/>
      <c r="C431" s="151"/>
    </row>
    <row r="432" spans="1:3" s="21" customFormat="1" ht="12.75" hidden="1">
      <c r="A432" s="213" t="s">
        <v>621</v>
      </c>
      <c r="B432" s="151"/>
      <c r="C432" s="151"/>
    </row>
    <row r="433" spans="1:3" s="21" customFormat="1" ht="12.75" hidden="1">
      <c r="A433" s="213" t="s">
        <v>953</v>
      </c>
      <c r="B433" s="151"/>
      <c r="C433" s="151"/>
    </row>
    <row r="434" spans="1:3" s="21" customFormat="1" ht="12.75">
      <c r="A434" s="213" t="s">
        <v>635</v>
      </c>
      <c r="B434" s="151">
        <f>SUM(B435:B437)</f>
        <v>0</v>
      </c>
      <c r="C434" s="151">
        <f>SUM(C435:C437)</f>
        <v>0</v>
      </c>
    </row>
    <row r="435" spans="1:3" s="21" customFormat="1" ht="12.75" hidden="1">
      <c r="A435" s="213" t="s">
        <v>954</v>
      </c>
      <c r="B435" s="151"/>
      <c r="C435" s="151"/>
    </row>
    <row r="436" spans="1:3" s="21" customFormat="1" ht="12.75" hidden="1">
      <c r="A436" s="213" t="s">
        <v>621</v>
      </c>
      <c r="B436" s="151"/>
      <c r="C436" s="151"/>
    </row>
    <row r="437" spans="1:3" s="21" customFormat="1" ht="12.75" hidden="1">
      <c r="A437" s="213" t="s">
        <v>446</v>
      </c>
      <c r="B437" s="151"/>
      <c r="C437" s="151"/>
    </row>
    <row r="438" spans="1:3" s="21" customFormat="1" ht="12.75">
      <c r="A438" s="235" t="s">
        <v>854</v>
      </c>
      <c r="B438" s="150">
        <f>B429+B430-B434</f>
        <v>0</v>
      </c>
      <c r="C438" s="150">
        <f>C429+C430-C434</f>
        <v>0</v>
      </c>
    </row>
    <row r="439" spans="1:3" s="21" customFormat="1" ht="12.75">
      <c r="A439" s="213" t="s">
        <v>651</v>
      </c>
      <c r="B439" s="151"/>
      <c r="C439" s="151"/>
    </row>
    <row r="440" spans="1:3" s="21" customFormat="1" ht="12.75">
      <c r="A440" s="213" t="s">
        <v>50</v>
      </c>
      <c r="B440" s="151">
        <v>0</v>
      </c>
      <c r="C440" s="151">
        <v>0</v>
      </c>
    </row>
    <row r="441" spans="1:3" s="21" customFormat="1" ht="12.75">
      <c r="A441" s="213" t="s">
        <v>799</v>
      </c>
      <c r="B441" s="151">
        <f>SUM(B442:B444)</f>
        <v>0</v>
      </c>
      <c r="C441" s="151">
        <f>SUM(C442:C444)</f>
        <v>0</v>
      </c>
    </row>
    <row r="442" spans="1:3" s="21" customFormat="1" ht="12.75" hidden="1">
      <c r="A442" s="213" t="s">
        <v>952</v>
      </c>
      <c r="B442" s="151"/>
      <c r="C442" s="151"/>
    </row>
    <row r="443" spans="1:3" s="21" customFormat="1" ht="12.75" hidden="1">
      <c r="A443" s="213" t="s">
        <v>621</v>
      </c>
      <c r="B443" s="151"/>
      <c r="C443" s="151"/>
    </row>
    <row r="444" spans="1:3" s="21" customFormat="1" ht="12.75" hidden="1">
      <c r="A444" s="213" t="s">
        <v>953</v>
      </c>
      <c r="B444" s="151"/>
      <c r="C444" s="151"/>
    </row>
    <row r="445" spans="1:3" s="21" customFormat="1" ht="12.75">
      <c r="A445" s="213" t="s">
        <v>635</v>
      </c>
      <c r="B445" s="151">
        <f>SUM(B446:B448)</f>
        <v>0</v>
      </c>
      <c r="C445" s="151">
        <f>SUM(C446:C448)</f>
        <v>0</v>
      </c>
    </row>
    <row r="446" spans="1:3" s="21" customFormat="1" ht="12.75" hidden="1">
      <c r="A446" s="213" t="s">
        <v>954</v>
      </c>
      <c r="B446" s="151"/>
      <c r="C446" s="151"/>
    </row>
    <row r="447" spans="1:3" s="21" customFormat="1" ht="12.75" hidden="1">
      <c r="A447" s="213" t="s">
        <v>621</v>
      </c>
      <c r="B447" s="151"/>
      <c r="C447" s="151"/>
    </row>
    <row r="448" spans="1:3" s="21" customFormat="1" ht="12.75" hidden="1">
      <c r="A448" s="213" t="s">
        <v>446</v>
      </c>
      <c r="B448" s="151"/>
      <c r="C448" s="151"/>
    </row>
    <row r="449" spans="1:3" s="21" customFormat="1" ht="12.75">
      <c r="A449" s="235" t="s">
        <v>854</v>
      </c>
      <c r="B449" s="150">
        <f>B440+B441-B445</f>
        <v>0</v>
      </c>
      <c r="C449" s="150">
        <f>C440+C441-C445</f>
        <v>0</v>
      </c>
    </row>
    <row r="450" spans="1:3" s="21" customFormat="1" ht="12.75" hidden="1">
      <c r="A450" s="238" t="s">
        <v>447</v>
      </c>
      <c r="B450" s="151"/>
      <c r="C450" s="151"/>
    </row>
    <row r="451" spans="1:3" s="21" customFormat="1" ht="12.75" hidden="1">
      <c r="A451" s="213" t="s">
        <v>50</v>
      </c>
      <c r="B451" s="151"/>
      <c r="C451" s="151"/>
    </row>
    <row r="452" spans="1:3" s="21" customFormat="1" ht="12.75" hidden="1">
      <c r="A452" s="213" t="s">
        <v>799</v>
      </c>
      <c r="B452" s="151">
        <f>SUM(B453:B455)</f>
        <v>0</v>
      </c>
      <c r="C452" s="151">
        <f>SUM(C453:C455)</f>
        <v>0</v>
      </c>
    </row>
    <row r="453" spans="1:3" s="21" customFormat="1" ht="12.75" hidden="1">
      <c r="A453" s="213" t="s">
        <v>952</v>
      </c>
      <c r="B453" s="151"/>
      <c r="C453" s="151"/>
    </row>
    <row r="454" spans="1:3" s="21" customFormat="1" ht="12.75" hidden="1">
      <c r="A454" s="213" t="s">
        <v>621</v>
      </c>
      <c r="B454" s="151"/>
      <c r="C454" s="151"/>
    </row>
    <row r="455" spans="1:3" s="21" customFormat="1" ht="12.75" hidden="1">
      <c r="A455" s="213" t="s">
        <v>953</v>
      </c>
      <c r="B455" s="151"/>
      <c r="C455" s="151"/>
    </row>
    <row r="456" spans="1:3" s="21" customFormat="1" ht="12.75" hidden="1">
      <c r="A456" s="213" t="s">
        <v>635</v>
      </c>
      <c r="B456" s="151">
        <f>SUM(B457:B459)</f>
        <v>0</v>
      </c>
      <c r="C456" s="151">
        <f>SUM(C457:C459)</f>
        <v>0</v>
      </c>
    </row>
    <row r="457" spans="1:3" s="21" customFormat="1" ht="12.75" hidden="1">
      <c r="A457" s="213" t="s">
        <v>954</v>
      </c>
      <c r="B457" s="151"/>
      <c r="C457" s="151"/>
    </row>
    <row r="458" spans="1:3" s="21" customFormat="1" ht="12.75" hidden="1">
      <c r="A458" s="213" t="s">
        <v>621</v>
      </c>
      <c r="B458" s="151"/>
      <c r="C458" s="151"/>
    </row>
    <row r="459" spans="1:3" s="21" customFormat="1" ht="12.75" hidden="1">
      <c r="A459" s="213" t="s">
        <v>446</v>
      </c>
      <c r="B459" s="151"/>
      <c r="C459" s="151"/>
    </row>
    <row r="460" spans="1:3" s="21" customFormat="1" ht="12.75" hidden="1">
      <c r="A460" s="235" t="s">
        <v>854</v>
      </c>
      <c r="B460" s="150">
        <f>B451+B452-B456</f>
        <v>0</v>
      </c>
      <c r="C460" s="150">
        <f>C451+C452-C456</f>
        <v>0</v>
      </c>
    </row>
    <row r="461" spans="1:3" s="21" customFormat="1" ht="12.75" hidden="1">
      <c r="A461" s="238" t="s">
        <v>448</v>
      </c>
      <c r="B461" s="151"/>
      <c r="C461" s="151"/>
    </row>
    <row r="462" spans="1:3" s="21" customFormat="1" ht="12.75" hidden="1">
      <c r="A462" s="213" t="s">
        <v>50</v>
      </c>
      <c r="B462" s="151"/>
      <c r="C462" s="151"/>
    </row>
    <row r="463" spans="1:3" s="21" customFormat="1" ht="12.75" hidden="1">
      <c r="A463" s="213" t="s">
        <v>799</v>
      </c>
      <c r="B463" s="151">
        <f>SUM(B464:B466)</f>
        <v>0</v>
      </c>
      <c r="C463" s="151">
        <f>SUM(C464:C466)</f>
        <v>0</v>
      </c>
    </row>
    <row r="464" spans="1:3" s="21" customFormat="1" ht="12.75" hidden="1">
      <c r="A464" s="213" t="s">
        <v>952</v>
      </c>
      <c r="B464" s="151"/>
      <c r="C464" s="151"/>
    </row>
    <row r="465" spans="1:3" s="21" customFormat="1" ht="12.75" hidden="1">
      <c r="A465" s="213" t="s">
        <v>621</v>
      </c>
      <c r="B465" s="151"/>
      <c r="C465" s="151"/>
    </row>
    <row r="466" spans="1:3" s="21" customFormat="1" ht="12.75" hidden="1">
      <c r="A466" s="213" t="s">
        <v>953</v>
      </c>
      <c r="B466" s="151"/>
      <c r="C466" s="151"/>
    </row>
    <row r="467" spans="1:3" s="21" customFormat="1" ht="12.75" hidden="1">
      <c r="A467" s="213" t="s">
        <v>635</v>
      </c>
      <c r="B467" s="151">
        <f>SUM(B468:B470)</f>
        <v>0</v>
      </c>
      <c r="C467" s="151">
        <f>SUM(C468:C470)</f>
        <v>0</v>
      </c>
    </row>
    <row r="468" spans="1:3" s="21" customFormat="1" ht="12.75" hidden="1">
      <c r="A468" s="213" t="s">
        <v>954</v>
      </c>
      <c r="B468" s="151"/>
      <c r="C468" s="151"/>
    </row>
    <row r="469" spans="1:3" s="21" customFormat="1" ht="12.75" hidden="1">
      <c r="A469" s="213" t="s">
        <v>621</v>
      </c>
      <c r="B469" s="151"/>
      <c r="C469" s="151"/>
    </row>
    <row r="470" spans="1:3" s="21" customFormat="1" ht="12.75" hidden="1">
      <c r="A470" s="213" t="s">
        <v>446</v>
      </c>
      <c r="B470" s="151"/>
      <c r="C470" s="151"/>
    </row>
    <row r="471" spans="1:3" s="21" customFormat="1" ht="12.75" hidden="1">
      <c r="A471" s="235" t="s">
        <v>854</v>
      </c>
      <c r="B471" s="150">
        <f>B462+B463-B467</f>
        <v>0</v>
      </c>
      <c r="C471" s="150">
        <f>C462+C463-C467</f>
        <v>0</v>
      </c>
    </row>
    <row r="472" spans="1:3" s="21" customFormat="1" ht="13.5" thickBot="1">
      <c r="A472" s="234" t="s">
        <v>7</v>
      </c>
      <c r="B472" s="165">
        <f>B438+B449+B460+B471</f>
        <v>0</v>
      </c>
      <c r="C472" s="165">
        <f>C438+C449+C460+C471</f>
        <v>0</v>
      </c>
    </row>
    <row r="473" spans="1:3" s="21" customFormat="1" ht="12.75" hidden="1">
      <c r="A473" s="37"/>
      <c r="B473" s="199" t="str">
        <f>IF(B472=B424,"OK","BŁĄD")</f>
        <v>OK</v>
      </c>
      <c r="C473" s="199" t="str">
        <f>IF(C472=C424,"OK","BŁĄD")</f>
        <v>OK</v>
      </c>
    </row>
    <row r="474" spans="1:3" s="21" customFormat="1" ht="12.75">
      <c r="A474" s="37"/>
      <c r="B474" s="199"/>
      <c r="C474" s="199"/>
    </row>
    <row r="475" spans="1:3" s="21" customFormat="1" ht="17.25" thickBot="1">
      <c r="A475" s="38" t="s">
        <v>512</v>
      </c>
      <c r="B475" s="56"/>
      <c r="C475" s="35"/>
    </row>
    <row r="476" spans="1:3" s="21" customFormat="1" ht="24" customHeight="1">
      <c r="A476" s="283" t="s">
        <v>449</v>
      </c>
      <c r="B476" s="60" t="e">
        <f>B4</f>
        <v>#REF!</v>
      </c>
      <c r="C476" s="60" t="e">
        <f>C4</f>
        <v>#REF!</v>
      </c>
    </row>
    <row r="477" spans="1:3" s="21" customFormat="1" ht="12.75">
      <c r="A477" s="235" t="s">
        <v>610</v>
      </c>
      <c r="B477" s="150">
        <v>0</v>
      </c>
      <c r="C477" s="150">
        <v>0</v>
      </c>
    </row>
    <row r="478" spans="1:3" s="21" customFormat="1" ht="12.75">
      <c r="A478" s="235" t="s">
        <v>246</v>
      </c>
      <c r="B478" s="150">
        <f>B480+B482+B483</f>
        <v>0</v>
      </c>
      <c r="C478" s="150">
        <f>C480+C482+C483</f>
        <v>0</v>
      </c>
    </row>
    <row r="479" spans="1:3" s="21" customFormat="1" ht="12.75" hidden="1">
      <c r="A479" s="236" t="s">
        <v>870</v>
      </c>
      <c r="B479" s="151"/>
      <c r="C479" s="151"/>
    </row>
    <row r="480" spans="1:3" s="21" customFormat="1" ht="12.75" hidden="1">
      <c r="A480" s="236" t="s">
        <v>47</v>
      </c>
      <c r="B480" s="151"/>
      <c r="C480" s="151"/>
    </row>
    <row r="481" spans="1:3" s="21" customFormat="1" ht="12.75" hidden="1">
      <c r="A481" s="236" t="s">
        <v>715</v>
      </c>
      <c r="B481" s="151"/>
      <c r="C481" s="151"/>
    </row>
    <row r="482" spans="1:3" s="21" customFormat="1" ht="12.75" hidden="1">
      <c r="A482" s="236" t="s">
        <v>47</v>
      </c>
      <c r="B482" s="151"/>
      <c r="C482" s="151"/>
    </row>
    <row r="483" spans="1:3" s="21" customFormat="1" ht="12.75" hidden="1">
      <c r="A483" s="236" t="s">
        <v>716</v>
      </c>
      <c r="B483" s="151"/>
      <c r="C483" s="151"/>
    </row>
    <row r="484" spans="1:3" s="21" customFormat="1" ht="13.5" thickBot="1">
      <c r="A484" s="234" t="s">
        <v>7</v>
      </c>
      <c r="B484" s="165">
        <f>B477+B478</f>
        <v>0</v>
      </c>
      <c r="C484" s="165">
        <f>C477+C478</f>
        <v>0</v>
      </c>
    </row>
    <row r="487" spans="1:78" s="87" customFormat="1" ht="18" customHeight="1" thickBot="1">
      <c r="A487" s="85" t="s">
        <v>257</v>
      </c>
      <c r="B487" s="84"/>
      <c r="C487" s="53"/>
      <c r="D487" s="86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</row>
    <row r="488" spans="1:78" s="87" customFormat="1" ht="24" customHeight="1">
      <c r="A488" s="244" t="s">
        <v>653</v>
      </c>
      <c r="B488" s="60" t="e">
        <f>B4</f>
        <v>#REF!</v>
      </c>
      <c r="C488" s="60" t="e">
        <f>C4</f>
        <v>#REF!</v>
      </c>
      <c r="D488" s="86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</row>
    <row r="489" spans="1:78" s="87" customFormat="1" ht="12.75" customHeight="1">
      <c r="A489" s="239" t="s">
        <v>790</v>
      </c>
      <c r="B489" s="167">
        <f>B490+B492+B494</f>
        <v>6283</v>
      </c>
      <c r="C489" s="167">
        <f>C490+C492+C494</f>
        <v>7444</v>
      </c>
      <c r="D489" s="86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</row>
    <row r="490" spans="1:78" s="87" customFormat="1" ht="12.75" customHeight="1">
      <c r="A490" s="240" t="s">
        <v>603</v>
      </c>
      <c r="B490" s="73">
        <f aca="true" t="shared" si="0" ref="B490:B495">C530</f>
        <v>5800</v>
      </c>
      <c r="C490" s="73">
        <v>6961</v>
      </c>
      <c r="D490" s="86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</row>
    <row r="491" spans="1:78" s="87" customFormat="1" ht="12.75" customHeight="1">
      <c r="A491" s="241" t="s">
        <v>779</v>
      </c>
      <c r="B491" s="142">
        <f t="shared" si="0"/>
        <v>5800</v>
      </c>
      <c r="C491" s="142">
        <v>6961</v>
      </c>
      <c r="D491" s="86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</row>
    <row r="492" spans="1:78" s="87" customFormat="1" ht="12.75" customHeight="1">
      <c r="A492" s="240" t="s">
        <v>604</v>
      </c>
      <c r="B492" s="73">
        <f t="shared" si="0"/>
        <v>483</v>
      </c>
      <c r="C492" s="73">
        <v>483</v>
      </c>
      <c r="D492" s="86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</row>
    <row r="493" spans="1:78" s="87" customFormat="1" ht="12.75" customHeight="1">
      <c r="A493" s="241" t="s">
        <v>779</v>
      </c>
      <c r="B493" s="142">
        <f t="shared" si="0"/>
        <v>483</v>
      </c>
      <c r="C493" s="142">
        <v>483</v>
      </c>
      <c r="D493" s="86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</row>
    <row r="494" spans="1:78" s="87" customFormat="1" ht="12.75" customHeight="1">
      <c r="A494" s="240" t="s">
        <v>79</v>
      </c>
      <c r="B494" s="73">
        <f t="shared" si="0"/>
        <v>0</v>
      </c>
      <c r="C494" s="73">
        <v>0</v>
      </c>
      <c r="D494" s="86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</row>
    <row r="495" spans="1:78" s="87" customFormat="1" ht="12.75" customHeight="1">
      <c r="A495" s="241" t="s">
        <v>779</v>
      </c>
      <c r="B495" s="142">
        <f t="shared" si="0"/>
        <v>0</v>
      </c>
      <c r="C495" s="142">
        <v>0</v>
      </c>
      <c r="D495" s="86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</row>
    <row r="496" spans="1:78" s="87" customFormat="1" ht="12.75" customHeight="1">
      <c r="A496" s="239" t="s">
        <v>428</v>
      </c>
      <c r="B496" s="168">
        <f>B497+B500+B503+B506+B509</f>
        <v>0</v>
      </c>
      <c r="C496" s="168">
        <f>C497+C500+C503+C506+C509</f>
        <v>3210</v>
      </c>
      <c r="D496" s="86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</row>
    <row r="497" spans="1:78" s="87" customFormat="1" ht="27" customHeight="1">
      <c r="A497" s="240" t="s">
        <v>106</v>
      </c>
      <c r="B497" s="169">
        <f>SUM(B498:B499)</f>
        <v>0</v>
      </c>
      <c r="C497" s="169">
        <f>SUM(C498:C499)</f>
        <v>3210</v>
      </c>
      <c r="D497" s="86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</row>
    <row r="498" spans="1:78" s="87" customFormat="1" ht="12.75" customHeight="1">
      <c r="A498" s="240" t="s">
        <v>654</v>
      </c>
      <c r="B498" s="169"/>
      <c r="C498" s="169">
        <v>3210</v>
      </c>
      <c r="D498" s="86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</row>
    <row r="499" spans="1:78" s="87" customFormat="1" ht="12.75" customHeight="1" hidden="1">
      <c r="A499" s="240" t="s">
        <v>378</v>
      </c>
      <c r="B499" s="169"/>
      <c r="C499" s="169"/>
      <c r="D499" s="86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</row>
    <row r="500" spans="1:78" s="87" customFormat="1" ht="25.5" customHeight="1">
      <c r="A500" s="240" t="s">
        <v>80</v>
      </c>
      <c r="B500" s="169">
        <f>SUM(B501:B502)</f>
        <v>0</v>
      </c>
      <c r="C500" s="169">
        <f>SUM(C501:C502)</f>
        <v>0</v>
      </c>
      <c r="D500" s="86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</row>
    <row r="501" spans="1:78" s="87" customFormat="1" ht="12.75" customHeight="1" hidden="1">
      <c r="A501" s="240" t="s">
        <v>378</v>
      </c>
      <c r="B501" s="169"/>
      <c r="C501" s="169"/>
      <c r="D501" s="86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</row>
    <row r="502" spans="1:78" s="87" customFormat="1" ht="12.75" customHeight="1" hidden="1">
      <c r="A502" s="240" t="s">
        <v>378</v>
      </c>
      <c r="B502" s="169"/>
      <c r="C502" s="169"/>
      <c r="D502" s="86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</row>
    <row r="503" spans="1:78" s="87" customFormat="1" ht="25.5" customHeight="1">
      <c r="A503" s="240" t="s">
        <v>78</v>
      </c>
      <c r="B503" s="169">
        <f>SUM(B504:B505)</f>
        <v>0</v>
      </c>
      <c r="C503" s="169">
        <f>SUM(C504:C505)</f>
        <v>0</v>
      </c>
      <c r="D503" s="86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</row>
    <row r="504" spans="1:78" s="87" customFormat="1" ht="12.75" customHeight="1" hidden="1">
      <c r="A504" s="240" t="s">
        <v>378</v>
      </c>
      <c r="B504" s="169"/>
      <c r="C504" s="169"/>
      <c r="D504" s="86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</row>
    <row r="505" spans="1:78" s="87" customFormat="1" ht="12.75" customHeight="1" hidden="1">
      <c r="A505" s="240" t="s">
        <v>378</v>
      </c>
      <c r="B505" s="169"/>
      <c r="C505" s="169"/>
      <c r="D505" s="86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</row>
    <row r="506" spans="1:78" s="87" customFormat="1" ht="21.75" customHeight="1">
      <c r="A506" s="240" t="s">
        <v>107</v>
      </c>
      <c r="B506" s="169">
        <f>SUM(B507:B508)</f>
        <v>0</v>
      </c>
      <c r="C506" s="169">
        <f>SUM(C507:C508)</f>
        <v>0</v>
      </c>
      <c r="D506" s="86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</row>
    <row r="507" spans="1:78" s="87" customFormat="1" ht="12.75" customHeight="1" hidden="1">
      <c r="A507" s="240" t="s">
        <v>378</v>
      </c>
      <c r="B507" s="169"/>
      <c r="C507" s="169"/>
      <c r="D507" s="86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</row>
    <row r="508" spans="1:78" s="87" customFormat="1" ht="12.75" customHeight="1" hidden="1">
      <c r="A508" s="240" t="s">
        <v>378</v>
      </c>
      <c r="B508" s="169"/>
      <c r="C508" s="169"/>
      <c r="D508" s="86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</row>
    <row r="509" spans="1:78" s="87" customFormat="1" ht="26.25" customHeight="1">
      <c r="A509" s="240" t="s">
        <v>730</v>
      </c>
      <c r="B509" s="169">
        <f>SUM(B510:B511)</f>
        <v>0</v>
      </c>
      <c r="C509" s="169">
        <f>SUM(C510:C511)</f>
        <v>0</v>
      </c>
      <c r="D509" s="86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</row>
    <row r="510" spans="1:78" s="87" customFormat="1" ht="12.75" customHeight="1" hidden="1">
      <c r="A510" s="240" t="s">
        <v>378</v>
      </c>
      <c r="B510" s="169"/>
      <c r="C510" s="169"/>
      <c r="D510" s="86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</row>
    <row r="511" spans="1:78" s="87" customFormat="1" ht="12.75" customHeight="1" hidden="1">
      <c r="A511" s="240" t="s">
        <v>378</v>
      </c>
      <c r="B511" s="169"/>
      <c r="C511" s="169"/>
      <c r="D511" s="86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</row>
    <row r="512" spans="1:78" s="87" customFormat="1" ht="12.75" customHeight="1">
      <c r="A512" s="239" t="s">
        <v>178</v>
      </c>
      <c r="B512" s="168">
        <f>B513+B517+B520+B523+B526</f>
        <v>0</v>
      </c>
      <c r="C512" s="168">
        <f>C513+C517+C520+C523+C526</f>
        <v>4371</v>
      </c>
      <c r="D512" s="86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</row>
    <row r="513" spans="1:78" s="87" customFormat="1" ht="27" customHeight="1">
      <c r="A513" s="240" t="s">
        <v>106</v>
      </c>
      <c r="B513" s="169">
        <f>SUM(B514:B516)</f>
        <v>0</v>
      </c>
      <c r="C513" s="169">
        <f>SUM(C514:C516)</f>
        <v>4371</v>
      </c>
      <c r="D513" s="86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</row>
    <row r="514" spans="1:78" s="87" customFormat="1" ht="12.75" customHeight="1">
      <c r="A514" s="240" t="s">
        <v>780</v>
      </c>
      <c r="B514" s="169"/>
      <c r="C514" s="169">
        <v>4371</v>
      </c>
      <c r="D514" s="86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</row>
    <row r="515" spans="1:78" s="87" customFormat="1" ht="12.75" customHeight="1" hidden="1">
      <c r="A515" s="240" t="s">
        <v>777</v>
      </c>
      <c r="B515" s="169"/>
      <c r="C515" s="169"/>
      <c r="D515" s="86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</row>
    <row r="516" spans="1:78" s="87" customFormat="1" ht="12.75" customHeight="1" hidden="1">
      <c r="A516" s="240" t="s">
        <v>378</v>
      </c>
      <c r="B516" s="169"/>
      <c r="C516" s="169"/>
      <c r="D516" s="86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</row>
    <row r="517" spans="1:78" s="87" customFormat="1" ht="25.5" customHeight="1">
      <c r="A517" s="240" t="s">
        <v>105</v>
      </c>
      <c r="B517" s="169">
        <f>SUM(B518:B519)</f>
        <v>0</v>
      </c>
      <c r="C517" s="169">
        <f>SUM(C518:C519)</f>
        <v>0</v>
      </c>
      <c r="D517" s="86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</row>
    <row r="518" spans="1:78" s="87" customFormat="1" ht="14.25" customHeight="1" hidden="1">
      <c r="A518" s="240" t="s">
        <v>778</v>
      </c>
      <c r="B518" s="169"/>
      <c r="C518" s="169"/>
      <c r="D518" s="86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</row>
    <row r="519" spans="1:78" s="87" customFormat="1" ht="12.75" customHeight="1" hidden="1">
      <c r="A519" s="240" t="s">
        <v>378</v>
      </c>
      <c r="B519" s="169"/>
      <c r="C519" s="169"/>
      <c r="D519" s="86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</row>
    <row r="520" spans="1:78" s="87" customFormat="1" ht="25.5" customHeight="1">
      <c r="A520" s="240" t="s">
        <v>78</v>
      </c>
      <c r="B520" s="169">
        <f>SUM(B521:B522)</f>
        <v>0</v>
      </c>
      <c r="C520" s="169">
        <f>SUM(C521:C522)</f>
        <v>0</v>
      </c>
      <c r="D520" s="86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</row>
    <row r="521" spans="1:78" s="87" customFormat="1" ht="12.75" customHeight="1" hidden="1">
      <c r="A521" s="240" t="s">
        <v>780</v>
      </c>
      <c r="B521" s="169"/>
      <c r="C521" s="169"/>
      <c r="D521" s="86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</row>
    <row r="522" spans="1:78" s="87" customFormat="1" ht="12.75" customHeight="1" hidden="1">
      <c r="A522" s="240" t="s">
        <v>378</v>
      </c>
      <c r="B522" s="169"/>
      <c r="C522" s="169"/>
      <c r="D522" s="86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</row>
    <row r="523" spans="1:78" s="87" customFormat="1" ht="22.5" customHeight="1">
      <c r="A523" s="240" t="s">
        <v>781</v>
      </c>
      <c r="B523" s="169">
        <f>SUM(B524:B525)</f>
        <v>0</v>
      </c>
      <c r="C523" s="169">
        <f>SUM(C524:C525)</f>
        <v>0</v>
      </c>
      <c r="D523" s="86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</row>
    <row r="524" spans="1:78" s="87" customFormat="1" ht="12.75" customHeight="1" hidden="1">
      <c r="A524" s="240" t="s">
        <v>426</v>
      </c>
      <c r="B524" s="169"/>
      <c r="C524" s="169"/>
      <c r="D524" s="86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</row>
    <row r="525" spans="1:78" s="87" customFormat="1" ht="12.75" customHeight="1" hidden="1">
      <c r="A525" s="240" t="s">
        <v>378</v>
      </c>
      <c r="B525" s="169"/>
      <c r="C525" s="169"/>
      <c r="D525" s="86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</row>
    <row r="526" spans="1:78" s="87" customFormat="1" ht="26.25" customHeight="1">
      <c r="A526" s="240" t="s">
        <v>730</v>
      </c>
      <c r="B526" s="169">
        <f>SUM(B527:B528)</f>
        <v>0</v>
      </c>
      <c r="C526" s="169">
        <f>SUM(C527:C528)</f>
        <v>0</v>
      </c>
      <c r="D526" s="86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</row>
    <row r="527" spans="1:78" s="87" customFormat="1" ht="12.75" customHeight="1" hidden="1">
      <c r="A527" s="240" t="s">
        <v>378</v>
      </c>
      <c r="B527" s="169"/>
      <c r="C527" s="169"/>
      <c r="D527" s="86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</row>
    <row r="528" spans="1:78" s="87" customFormat="1" ht="12.75" customHeight="1" hidden="1">
      <c r="A528" s="240" t="s">
        <v>378</v>
      </c>
      <c r="B528" s="169"/>
      <c r="C528" s="169"/>
      <c r="D528" s="86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</row>
    <row r="529" spans="1:78" s="87" customFormat="1" ht="12.75" customHeight="1">
      <c r="A529" s="239" t="s">
        <v>244</v>
      </c>
      <c r="B529" s="168">
        <f>B489+B496-B512</f>
        <v>6283</v>
      </c>
      <c r="C529" s="168">
        <f>C489+C496-C512</f>
        <v>6283</v>
      </c>
      <c r="D529" s="86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</row>
    <row r="530" spans="1:78" s="87" customFormat="1" ht="12.75" customHeight="1">
      <c r="A530" s="240" t="s">
        <v>603</v>
      </c>
      <c r="B530" s="169">
        <f>B490+B497+B500-B513-B517</f>
        <v>5800</v>
      </c>
      <c r="C530" s="169">
        <f>C490+C497+C500-C513-C517</f>
        <v>5800</v>
      </c>
      <c r="D530" s="86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</row>
    <row r="531" spans="1:78" s="87" customFormat="1" ht="12.75" customHeight="1">
      <c r="A531" s="241" t="s">
        <v>779</v>
      </c>
      <c r="B531" s="142">
        <f>B491+B498-B514</f>
        <v>5800</v>
      </c>
      <c r="C531" s="142">
        <f>C491+C498-C514</f>
        <v>5800</v>
      </c>
      <c r="D531" s="86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</row>
    <row r="532" spans="1:78" s="87" customFormat="1" ht="12.75" customHeight="1">
      <c r="A532" s="240" t="s">
        <v>604</v>
      </c>
      <c r="B532" s="169">
        <f>B492+B503+B506-B520-B523</f>
        <v>483</v>
      </c>
      <c r="C532" s="169">
        <f>C492+C503+C506-C520-C523</f>
        <v>483</v>
      </c>
      <c r="D532" s="86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</row>
    <row r="533" spans="1:78" s="87" customFormat="1" ht="12.75" customHeight="1">
      <c r="A533" s="241" t="s">
        <v>779</v>
      </c>
      <c r="B533" s="142">
        <f>B493</f>
        <v>483</v>
      </c>
      <c r="C533" s="142">
        <f>C493</f>
        <v>483</v>
      </c>
      <c r="D533" s="86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</row>
    <row r="534" spans="1:78" s="87" customFormat="1" ht="12.75" customHeight="1">
      <c r="A534" s="240" t="s">
        <v>337</v>
      </c>
      <c r="B534" s="169">
        <f>B494+B509-B526</f>
        <v>0</v>
      </c>
      <c r="C534" s="169">
        <f>C494+C509-C526</f>
        <v>0</v>
      </c>
      <c r="D534" s="86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</row>
    <row r="535" spans="1:78" s="87" customFormat="1" ht="12.75" customHeight="1">
      <c r="A535" s="241" t="s">
        <v>779</v>
      </c>
      <c r="B535" s="142">
        <v>0</v>
      </c>
      <c r="C535" s="142">
        <v>0</v>
      </c>
      <c r="D535" s="86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</row>
    <row r="536" spans="1:78" s="87" customFormat="1" ht="18.75" customHeight="1" thickBot="1">
      <c r="A536" s="242" t="s">
        <v>338</v>
      </c>
      <c r="B536" s="79">
        <f>B530+B532+B534</f>
        <v>6283</v>
      </c>
      <c r="C536" s="79">
        <f>C530+C532+C534</f>
        <v>6283</v>
      </c>
      <c r="D536" s="86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</row>
    <row r="537" spans="2:3" s="39" customFormat="1" ht="12" hidden="1">
      <c r="B537" s="199" t="str">
        <f>IF(B536=B529,"OK","BŁĄD")</f>
        <v>OK</v>
      </c>
      <c r="C537" s="199" t="str">
        <f>IF(C536=C529,"OK","BŁĄD")</f>
        <v>OK</v>
      </c>
    </row>
    <row r="538" spans="2:3" s="39" customFormat="1" ht="12">
      <c r="B538" s="199"/>
      <c r="C538" s="199"/>
    </row>
    <row r="539" spans="1:2" s="39" customFormat="1" ht="12" hidden="1">
      <c r="A539" s="41" t="s">
        <v>427</v>
      </c>
      <c r="B539" s="40"/>
    </row>
    <row r="540" spans="1:2" s="39" customFormat="1" ht="12" hidden="1">
      <c r="A540" s="289" t="s">
        <v>731</v>
      </c>
      <c r="B540" s="40"/>
    </row>
    <row r="541" spans="1:2" s="39" customFormat="1" ht="12" hidden="1">
      <c r="A541" s="289" t="s">
        <v>732</v>
      </c>
      <c r="B541" s="40"/>
    </row>
    <row r="542" spans="1:3" s="39" customFormat="1" ht="12" hidden="1">
      <c r="A542" s="289"/>
      <c r="B542" s="290"/>
      <c r="C542" s="291"/>
    </row>
    <row r="543" spans="1:3" s="39" customFormat="1" ht="12" hidden="1">
      <c r="A543" s="292" t="s">
        <v>733</v>
      </c>
      <c r="B543" s="290"/>
      <c r="C543" s="291"/>
    </row>
    <row r="544" spans="1:3" s="39" customFormat="1" ht="12" hidden="1">
      <c r="A544" s="293" t="s">
        <v>654</v>
      </c>
      <c r="B544" s="290"/>
      <c r="C544" s="291"/>
    </row>
    <row r="545" spans="1:3" s="39" customFormat="1" ht="12" hidden="1">
      <c r="A545" s="293" t="s">
        <v>374</v>
      </c>
      <c r="B545" s="290"/>
      <c r="C545" s="291"/>
    </row>
    <row r="546" spans="1:3" s="39" customFormat="1" ht="12" hidden="1">
      <c r="A546" s="293" t="s">
        <v>375</v>
      </c>
      <c r="B546" s="290"/>
      <c r="C546" s="291"/>
    </row>
    <row r="547" spans="1:3" s="39" customFormat="1" ht="12" hidden="1">
      <c r="A547" s="293" t="s">
        <v>376</v>
      </c>
      <c r="B547" s="290"/>
      <c r="C547" s="291"/>
    </row>
    <row r="548" spans="1:3" s="39" customFormat="1" ht="12" hidden="1">
      <c r="A548" s="293" t="s">
        <v>377</v>
      </c>
      <c r="B548" s="290"/>
      <c r="C548" s="291"/>
    </row>
    <row r="549" spans="1:3" s="39" customFormat="1" ht="12" hidden="1">
      <c r="A549" s="291"/>
      <c r="B549" s="290"/>
      <c r="C549" s="291"/>
    </row>
    <row r="550" spans="1:3" s="39" customFormat="1" ht="12" hidden="1">
      <c r="A550" s="292" t="s">
        <v>734</v>
      </c>
      <c r="B550" s="290"/>
      <c r="C550" s="291"/>
    </row>
    <row r="551" spans="1:3" s="39" customFormat="1" ht="12" hidden="1">
      <c r="A551" s="293" t="s">
        <v>735</v>
      </c>
      <c r="B551" s="290"/>
      <c r="C551" s="291"/>
    </row>
    <row r="552" spans="1:3" s="39" customFormat="1" ht="12" hidden="1">
      <c r="A552" s="293" t="s">
        <v>374</v>
      </c>
      <c r="B552" s="290"/>
      <c r="C552" s="291"/>
    </row>
    <row r="553" spans="1:3" s="39" customFormat="1" ht="12" hidden="1">
      <c r="A553" s="619" t="s">
        <v>737</v>
      </c>
      <c r="B553" s="620"/>
      <c r="C553" s="620"/>
    </row>
    <row r="554" spans="1:3" s="39" customFormat="1" ht="12" hidden="1">
      <c r="A554" s="293" t="s">
        <v>426</v>
      </c>
      <c r="B554" s="290"/>
      <c r="C554" s="291"/>
    </row>
    <row r="555" spans="1:3" s="39" customFormat="1" ht="12.75">
      <c r="A555" s="579" t="s">
        <v>552</v>
      </c>
      <c r="B555" s="290"/>
      <c r="C555" s="291"/>
    </row>
    <row r="556" spans="1:3" s="39" customFormat="1" ht="12">
      <c r="A556" s="293"/>
      <c r="B556" s="290"/>
      <c r="C556" s="291"/>
    </row>
    <row r="557" spans="1:89" s="89" customFormat="1" ht="20.25" customHeight="1" thickBot="1">
      <c r="A557" s="42" t="s">
        <v>258</v>
      </c>
      <c r="B557" s="43"/>
      <c r="C557" s="44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</row>
    <row r="558" spans="1:89" s="89" customFormat="1" ht="12.75">
      <c r="A558" s="271" t="s">
        <v>339</v>
      </c>
      <c r="B558" s="60" t="e">
        <f>B4</f>
        <v>#REF!</v>
      </c>
      <c r="C558" s="60" t="e">
        <f>C4</f>
        <v>#REF!</v>
      </c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</row>
    <row r="559" spans="1:89" s="89" customFormat="1" ht="12.75">
      <c r="A559" s="115" t="s">
        <v>269</v>
      </c>
      <c r="B559" s="170">
        <f>SUM(B560:B566)</f>
        <v>0</v>
      </c>
      <c r="C559" s="170">
        <f>SUM(C560:C566)</f>
        <v>390</v>
      </c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</row>
    <row r="560" spans="1:3" s="39" customFormat="1" ht="12" hidden="1">
      <c r="A560" s="206" t="s">
        <v>81</v>
      </c>
      <c r="B560" s="65"/>
      <c r="C560" s="65"/>
    </row>
    <row r="561" spans="1:3" s="39" customFormat="1" ht="12" hidden="1">
      <c r="A561" s="206" t="s">
        <v>82</v>
      </c>
      <c r="B561" s="65"/>
      <c r="C561" s="65"/>
    </row>
    <row r="562" spans="1:3" s="39" customFormat="1" ht="12" hidden="1">
      <c r="A562" s="206" t="s">
        <v>83</v>
      </c>
      <c r="B562" s="65"/>
      <c r="C562" s="65"/>
    </row>
    <row r="563" spans="1:3" s="39" customFormat="1" ht="12" hidden="1">
      <c r="A563" s="206" t="s">
        <v>84</v>
      </c>
      <c r="B563" s="65"/>
      <c r="C563" s="65"/>
    </row>
    <row r="564" spans="1:3" s="39" customFormat="1" ht="12">
      <c r="A564" s="206" t="s">
        <v>85</v>
      </c>
      <c r="B564" s="65"/>
      <c r="C564" s="65">
        <v>390</v>
      </c>
    </row>
    <row r="565" spans="1:3" s="39" customFormat="1" ht="12" hidden="1">
      <c r="A565" s="206" t="s">
        <v>914</v>
      </c>
      <c r="B565" s="65"/>
      <c r="C565" s="65"/>
    </row>
    <row r="566" spans="1:3" s="39" customFormat="1" ht="12" hidden="1">
      <c r="A566" s="206" t="s">
        <v>915</v>
      </c>
      <c r="B566" s="65"/>
      <c r="C566" s="65"/>
    </row>
    <row r="567" spans="1:3" s="39" customFormat="1" ht="12">
      <c r="A567" s="115" t="s">
        <v>179</v>
      </c>
      <c r="B567" s="170">
        <f>SUM(B568:B569)</f>
        <v>0</v>
      </c>
      <c r="C567" s="170">
        <f>SUM(C568:C569)</f>
        <v>0</v>
      </c>
    </row>
    <row r="568" spans="1:3" s="39" customFormat="1" ht="12" hidden="1">
      <c r="A568" s="206" t="s">
        <v>916</v>
      </c>
      <c r="B568" s="65"/>
      <c r="C568" s="65"/>
    </row>
    <row r="569" spans="1:3" s="39" customFormat="1" ht="12" hidden="1">
      <c r="A569" s="206" t="s">
        <v>915</v>
      </c>
      <c r="B569" s="65"/>
      <c r="C569" s="65"/>
    </row>
    <row r="570" spans="1:3" s="39" customFormat="1" ht="12.75" thickBot="1">
      <c r="A570" s="114" t="s">
        <v>195</v>
      </c>
      <c r="B570" s="166">
        <f>B559+B567</f>
        <v>0</v>
      </c>
      <c r="C570" s="166">
        <f>C559+C567</f>
        <v>390</v>
      </c>
    </row>
    <row r="572" spans="1:3" s="39" customFormat="1" ht="15.75" customHeight="1" thickBot="1">
      <c r="A572" s="90" t="s">
        <v>104</v>
      </c>
      <c r="B572" s="91"/>
      <c r="C572" s="70"/>
    </row>
    <row r="573" spans="1:3" s="39" customFormat="1" ht="15" customHeight="1">
      <c r="A573" s="281" t="s">
        <v>196</v>
      </c>
      <c r="B573" s="60" t="e">
        <f>B4</f>
        <v>#REF!</v>
      </c>
      <c r="C573" s="60" t="e">
        <f>C4</f>
        <v>#REF!</v>
      </c>
    </row>
    <row r="574" spans="1:3" s="39" customFormat="1" ht="12">
      <c r="A574" s="202" t="s">
        <v>867</v>
      </c>
      <c r="B574" s="169"/>
      <c r="C574" s="169">
        <v>42</v>
      </c>
    </row>
    <row r="575" spans="1:3" s="39" customFormat="1" ht="12">
      <c r="A575" s="202" t="s">
        <v>680</v>
      </c>
      <c r="B575" s="169"/>
      <c r="C575" s="169">
        <v>736</v>
      </c>
    </row>
    <row r="576" spans="1:3" s="39" customFormat="1" ht="12">
      <c r="A576" s="202" t="s">
        <v>681</v>
      </c>
      <c r="B576" s="169"/>
      <c r="C576" s="169">
        <v>0</v>
      </c>
    </row>
    <row r="577" spans="1:3" s="39" customFormat="1" ht="12">
      <c r="A577" s="202" t="s">
        <v>682</v>
      </c>
      <c r="B577" s="169"/>
      <c r="C577" s="169">
        <v>31</v>
      </c>
    </row>
    <row r="578" spans="1:3" s="39" customFormat="1" ht="12">
      <c r="A578" s="202" t="s">
        <v>868</v>
      </c>
      <c r="B578" s="169">
        <v>0</v>
      </c>
      <c r="C578" s="169">
        <v>0</v>
      </c>
    </row>
    <row r="579" spans="1:3" s="39" customFormat="1" ht="12.75" thickBot="1">
      <c r="A579" s="243" t="s">
        <v>866</v>
      </c>
      <c r="B579" s="171">
        <f>SUM(B574:B578)</f>
        <v>0</v>
      </c>
      <c r="C579" s="171">
        <f>SUM(C574:C578)</f>
        <v>809</v>
      </c>
    </row>
    <row r="580" s="39" customFormat="1" ht="12"/>
    <row r="581" s="39" customFormat="1" ht="14.25" customHeight="1" hidden="1"/>
    <row r="582" s="39" customFormat="1" ht="14.25" customHeight="1" hidden="1"/>
    <row r="583" s="39" customFormat="1" ht="14.25" customHeight="1"/>
    <row r="584" spans="1:91" s="87" customFormat="1" ht="17.25" thickBot="1">
      <c r="A584" s="92" t="s">
        <v>767</v>
      </c>
      <c r="B584" s="9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</row>
    <row r="585" spans="1:91" s="87" customFormat="1" ht="15" customHeight="1">
      <c r="A585" s="284" t="s">
        <v>869</v>
      </c>
      <c r="B585" s="60" t="e">
        <f>B4</f>
        <v>#REF!</v>
      </c>
      <c r="C585" s="60" t="e">
        <f>C4</f>
        <v>#REF!</v>
      </c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</row>
    <row r="586" spans="1:3" s="39" customFormat="1" ht="12">
      <c r="A586" s="122" t="s">
        <v>792</v>
      </c>
      <c r="B586" s="172">
        <f>B587+B590+B591</f>
        <v>0</v>
      </c>
      <c r="C586" s="172">
        <f>C587+C590+C591</f>
        <v>28716</v>
      </c>
    </row>
    <row r="587" spans="1:3" s="39" customFormat="1" ht="12">
      <c r="A587" s="55" t="s">
        <v>540</v>
      </c>
      <c r="B587" s="65">
        <f>SUM(B588:B589)</f>
        <v>0</v>
      </c>
      <c r="C587" s="65">
        <f>SUM(C588:C589)</f>
        <v>28716</v>
      </c>
    </row>
    <row r="588" spans="1:3" s="39" customFormat="1" ht="12">
      <c r="A588" s="55" t="s">
        <v>351</v>
      </c>
      <c r="B588" s="65"/>
      <c r="C588" s="65">
        <v>28716</v>
      </c>
    </row>
    <row r="589" spans="1:3" s="39" customFormat="1" ht="12">
      <c r="A589" s="55" t="s">
        <v>352</v>
      </c>
      <c r="B589" s="65"/>
      <c r="C589" s="65"/>
    </row>
    <row r="590" spans="1:3" s="39" customFormat="1" ht="12">
      <c r="A590" s="55" t="s">
        <v>353</v>
      </c>
      <c r="B590" s="65"/>
      <c r="C590" s="65"/>
    </row>
    <row r="591" spans="1:3" s="39" customFormat="1" ht="12" hidden="1">
      <c r="A591" s="55" t="s">
        <v>354</v>
      </c>
      <c r="B591" s="65"/>
      <c r="C591" s="65"/>
    </row>
    <row r="592" spans="1:3" s="39" customFormat="1" ht="12">
      <c r="A592" s="122" t="s">
        <v>355</v>
      </c>
      <c r="B592" s="172">
        <f>B593+B596+B597+B598</f>
        <v>0</v>
      </c>
      <c r="C592" s="172">
        <f>C593+C596+C597+C598</f>
        <v>155567</v>
      </c>
    </row>
    <row r="593" spans="1:3" s="39" customFormat="1" ht="12">
      <c r="A593" s="55" t="s">
        <v>540</v>
      </c>
      <c r="B593" s="65">
        <f>SUM(B594:B595)</f>
        <v>0</v>
      </c>
      <c r="C593" s="65">
        <f>SUM(C594:C595)</f>
        <v>141397</v>
      </c>
    </row>
    <row r="594" spans="1:3" s="39" customFormat="1" ht="12">
      <c r="A594" s="55" t="s">
        <v>356</v>
      </c>
      <c r="B594" s="65"/>
      <c r="C594" s="65">
        <v>128272</v>
      </c>
    </row>
    <row r="595" spans="1:3" s="39" customFormat="1" ht="12">
      <c r="A595" s="55" t="s">
        <v>357</v>
      </c>
      <c r="B595" s="65"/>
      <c r="C595" s="65">
        <v>13125</v>
      </c>
    </row>
    <row r="596" spans="1:3" s="39" customFormat="1" ht="24">
      <c r="A596" s="55" t="s">
        <v>229</v>
      </c>
      <c r="B596" s="173"/>
      <c r="C596" s="173">
        <v>5971</v>
      </c>
    </row>
    <row r="597" spans="1:3" s="39" customFormat="1" ht="12">
      <c r="A597" s="55" t="s">
        <v>353</v>
      </c>
      <c r="B597" s="65"/>
      <c r="C597" s="65">
        <v>8199</v>
      </c>
    </row>
    <row r="598" spans="1:3" s="39" customFormat="1" ht="12" hidden="1">
      <c r="A598" s="55" t="s">
        <v>354</v>
      </c>
      <c r="B598" s="65"/>
      <c r="C598" s="65"/>
    </row>
    <row r="599" spans="1:3" s="39" customFormat="1" ht="12">
      <c r="A599" s="120" t="s">
        <v>65</v>
      </c>
      <c r="B599" s="174">
        <f>B586+B592</f>
        <v>0</v>
      </c>
      <c r="C599" s="174">
        <f>C586+C592</f>
        <v>184283</v>
      </c>
    </row>
    <row r="600" spans="1:3" s="39" customFormat="1" ht="12">
      <c r="A600" s="49" t="s">
        <v>485</v>
      </c>
      <c r="B600" s="65">
        <f>B645</f>
        <v>30145</v>
      </c>
      <c r="C600" s="65">
        <f>C645</f>
        <v>30145</v>
      </c>
    </row>
    <row r="601" spans="1:3" s="39" customFormat="1" ht="15" customHeight="1" thickBot="1">
      <c r="A601" s="114" t="s">
        <v>230</v>
      </c>
      <c r="B601" s="166">
        <f>B599+B600</f>
        <v>30145</v>
      </c>
      <c r="C601" s="166">
        <f>C599+C600</f>
        <v>214428</v>
      </c>
    </row>
    <row r="602" s="39" customFormat="1" ht="12">
      <c r="B602" s="40"/>
    </row>
    <row r="603" s="39" customFormat="1" ht="6" customHeight="1">
      <c r="B603" s="40"/>
    </row>
    <row r="604" spans="1:3" s="39" customFormat="1" ht="16.5" customHeight="1" thickBot="1">
      <c r="A604" s="92" t="s">
        <v>768</v>
      </c>
      <c r="B604" s="94"/>
      <c r="C604" s="93"/>
    </row>
    <row r="605" spans="1:3" s="39" customFormat="1" ht="24" customHeight="1">
      <c r="A605" s="244" t="s">
        <v>415</v>
      </c>
      <c r="B605" s="60" t="e">
        <f>B4</f>
        <v>#REF!</v>
      </c>
      <c r="C605" s="60" t="e">
        <f>C4</f>
        <v>#REF!</v>
      </c>
    </row>
    <row r="606" spans="1:3" s="39" customFormat="1" ht="12">
      <c r="A606" s="124" t="s">
        <v>416</v>
      </c>
      <c r="B606" s="150">
        <f>SUM(B607:B611)</f>
        <v>0</v>
      </c>
      <c r="C606" s="150">
        <f>SUM(C607:C611)</f>
        <v>28716</v>
      </c>
    </row>
    <row r="607" spans="1:3" s="39" customFormat="1" ht="12">
      <c r="A607" s="49" t="s">
        <v>476</v>
      </c>
      <c r="B607" s="151"/>
      <c r="C607" s="151">
        <f>28904-203</f>
        <v>28701</v>
      </c>
    </row>
    <row r="608" spans="1:3" s="39" customFormat="1" ht="12" hidden="1">
      <c r="A608" s="49" t="s">
        <v>129</v>
      </c>
      <c r="B608" s="151"/>
      <c r="C608" s="151"/>
    </row>
    <row r="609" spans="1:3" s="39" customFormat="1" ht="12">
      <c r="A609" s="49" t="s">
        <v>130</v>
      </c>
      <c r="B609" s="151"/>
      <c r="C609" s="151">
        <v>15</v>
      </c>
    </row>
    <row r="610" spans="1:3" s="39" customFormat="1" ht="12" hidden="1">
      <c r="A610" s="49" t="s">
        <v>417</v>
      </c>
      <c r="B610" s="151"/>
      <c r="C610" s="151"/>
    </row>
    <row r="611" spans="1:3" s="39" customFormat="1" ht="12" hidden="1">
      <c r="A611" s="49" t="s">
        <v>131</v>
      </c>
      <c r="B611" s="151"/>
      <c r="C611" s="151"/>
    </row>
    <row r="612" spans="1:3" s="39" customFormat="1" ht="12">
      <c r="A612" s="124" t="s">
        <v>385</v>
      </c>
      <c r="B612" s="150">
        <f>SUM(B613:B617)</f>
        <v>0</v>
      </c>
      <c r="C612" s="150">
        <f>SUM(C613:C617)</f>
        <v>0</v>
      </c>
    </row>
    <row r="613" spans="1:3" s="39" customFormat="1" ht="12">
      <c r="A613" s="49" t="s">
        <v>476</v>
      </c>
      <c r="B613" s="151">
        <v>0</v>
      </c>
      <c r="C613" s="151">
        <v>0</v>
      </c>
    </row>
    <row r="614" spans="1:3" s="39" customFormat="1" ht="12" hidden="1">
      <c r="A614" s="49" t="s">
        <v>129</v>
      </c>
      <c r="B614" s="151"/>
      <c r="C614" s="151"/>
    </row>
    <row r="615" spans="1:3" s="39" customFormat="1" ht="12" hidden="1">
      <c r="A615" s="49" t="s">
        <v>130</v>
      </c>
      <c r="B615" s="151"/>
      <c r="C615" s="151"/>
    </row>
    <row r="616" spans="1:3" s="39" customFormat="1" ht="12" hidden="1">
      <c r="A616" s="49" t="s">
        <v>417</v>
      </c>
      <c r="B616" s="151"/>
      <c r="C616" s="151"/>
    </row>
    <row r="617" spans="1:3" s="39" customFormat="1" ht="12" hidden="1">
      <c r="A617" s="49" t="s">
        <v>131</v>
      </c>
      <c r="B617" s="151"/>
      <c r="C617" s="151"/>
    </row>
    <row r="618" spans="1:3" s="39" customFormat="1" ht="12">
      <c r="A618" s="124" t="s">
        <v>386</v>
      </c>
      <c r="B618" s="150">
        <f>SUM(B619:B623)</f>
        <v>0</v>
      </c>
      <c r="C618" s="150">
        <f>SUM(C619:C623)</f>
        <v>0</v>
      </c>
    </row>
    <row r="619" spans="1:3" s="39" customFormat="1" ht="12" hidden="1">
      <c r="A619" s="49" t="s">
        <v>476</v>
      </c>
      <c r="B619" s="151"/>
      <c r="C619" s="151"/>
    </row>
    <row r="620" spans="1:3" s="39" customFormat="1" ht="12" hidden="1">
      <c r="A620" s="49" t="s">
        <v>129</v>
      </c>
      <c r="B620" s="151"/>
      <c r="C620" s="151"/>
    </row>
    <row r="621" spans="1:3" s="39" customFormat="1" ht="12" hidden="1">
      <c r="A621" s="49" t="s">
        <v>130</v>
      </c>
      <c r="B621" s="151"/>
      <c r="C621" s="151"/>
    </row>
    <row r="622" spans="1:3" s="39" customFormat="1" ht="12" hidden="1">
      <c r="A622" s="49" t="s">
        <v>417</v>
      </c>
      <c r="B622" s="151"/>
      <c r="C622" s="151"/>
    </row>
    <row r="623" spans="1:3" s="39" customFormat="1" ht="12" hidden="1">
      <c r="A623" s="49" t="s">
        <v>131</v>
      </c>
      <c r="B623" s="151"/>
      <c r="C623" s="151"/>
    </row>
    <row r="624" spans="1:3" s="39" customFormat="1" ht="12">
      <c r="A624" s="179" t="s">
        <v>46</v>
      </c>
      <c r="B624" s="180">
        <f>B606+B612+B618</f>
        <v>0</v>
      </c>
      <c r="C624" s="180">
        <f>C606+C612+C618</f>
        <v>28716</v>
      </c>
    </row>
    <row r="625" spans="1:3" s="39" customFormat="1" ht="12">
      <c r="A625" s="201" t="s">
        <v>277</v>
      </c>
      <c r="B625" s="188"/>
      <c r="C625" s="188">
        <v>202</v>
      </c>
    </row>
    <row r="626" spans="1:3" s="39" customFormat="1" ht="12.75" thickBot="1">
      <c r="A626" s="114" t="s">
        <v>418</v>
      </c>
      <c r="B626" s="165">
        <f>B624+B625</f>
        <v>0</v>
      </c>
      <c r="C626" s="165">
        <f>C624+C625</f>
        <v>28918</v>
      </c>
    </row>
    <row r="627" spans="2:3" s="39" customFormat="1" ht="12" hidden="1">
      <c r="B627" s="199" t="str">
        <f>IF(B624=B586,"OK","BŁĄD")</f>
        <v>OK</v>
      </c>
      <c r="C627" s="199" t="str">
        <f>IF(C624=C586,"OK","BŁĄD")</f>
        <v>OK</v>
      </c>
    </row>
    <row r="628" s="39" customFormat="1" ht="12" customHeight="1">
      <c r="B628" s="40"/>
    </row>
    <row r="629" s="39" customFormat="1" ht="12" customHeight="1">
      <c r="B629" s="40"/>
    </row>
    <row r="630" spans="1:3" s="39" customFormat="1" ht="17.25" thickBot="1">
      <c r="A630" s="95" t="s">
        <v>769</v>
      </c>
      <c r="B630" s="96"/>
      <c r="C630" s="97"/>
    </row>
    <row r="631" spans="1:3" s="39" customFormat="1" ht="24">
      <c r="A631" s="245" t="s">
        <v>75</v>
      </c>
      <c r="B631" s="60" t="e">
        <f>B4</f>
        <v>#REF!</v>
      </c>
      <c r="C631" s="60" t="e">
        <f>C4</f>
        <v>#REF!</v>
      </c>
    </row>
    <row r="632" spans="1:3" s="39" customFormat="1" ht="12">
      <c r="A632" s="246" t="s">
        <v>50</v>
      </c>
      <c r="B632" s="178">
        <f>C645</f>
        <v>30145</v>
      </c>
      <c r="C632" s="178">
        <v>25832</v>
      </c>
    </row>
    <row r="633" spans="1:3" s="39" customFormat="1" ht="12">
      <c r="A633" s="246" t="s">
        <v>799</v>
      </c>
      <c r="B633" s="178">
        <f>SUM(B634:B638)</f>
        <v>0</v>
      </c>
      <c r="C633" s="178">
        <f>SUM(C634:C638)</f>
        <v>7884</v>
      </c>
    </row>
    <row r="634" spans="1:4" s="39" customFormat="1" ht="12">
      <c r="A634" s="215" t="s">
        <v>137</v>
      </c>
      <c r="B634" s="561"/>
      <c r="C634" s="561">
        <v>6250</v>
      </c>
      <c r="D634" s="295"/>
    </row>
    <row r="635" spans="1:3" s="39" customFormat="1" ht="12" hidden="1">
      <c r="A635" s="215" t="s">
        <v>904</v>
      </c>
      <c r="B635" s="562"/>
      <c r="C635" s="562"/>
    </row>
    <row r="636" spans="1:3" s="39" customFormat="1" ht="12" hidden="1">
      <c r="A636" s="215" t="s">
        <v>905</v>
      </c>
      <c r="B636" s="562"/>
      <c r="C636" s="562"/>
    </row>
    <row r="637" spans="1:3" s="39" customFormat="1" ht="12" hidden="1">
      <c r="A637" s="215" t="s">
        <v>906</v>
      </c>
      <c r="B637" s="562"/>
      <c r="C637" s="562"/>
    </row>
    <row r="638" spans="1:3" s="39" customFormat="1" ht="12">
      <c r="A638" s="215" t="s">
        <v>189</v>
      </c>
      <c r="B638" s="561"/>
      <c r="C638" s="561">
        <f>1635-1</f>
        <v>1634</v>
      </c>
    </row>
    <row r="639" spans="1:3" s="39" customFormat="1" ht="12">
      <c r="A639" s="246" t="s">
        <v>635</v>
      </c>
      <c r="B639" s="178">
        <f>SUM(B640:B644)</f>
        <v>0</v>
      </c>
      <c r="C639" s="178">
        <f>SUM(C640:C644)</f>
        <v>3571</v>
      </c>
    </row>
    <row r="640" spans="1:3" s="39" customFormat="1" ht="12">
      <c r="A640" s="215" t="s">
        <v>907</v>
      </c>
      <c r="B640" s="562"/>
      <c r="C640" s="562">
        <v>1604</v>
      </c>
    </row>
    <row r="641" spans="1:3" s="39" customFormat="1" ht="12" hidden="1">
      <c r="A641" s="215" t="s">
        <v>905</v>
      </c>
      <c r="B641" s="562"/>
      <c r="C641" s="562"/>
    </row>
    <row r="642" spans="1:3" s="39" customFormat="1" ht="12" hidden="1">
      <c r="A642" s="215" t="s">
        <v>904</v>
      </c>
      <c r="B642" s="562"/>
      <c r="C642" s="562"/>
    </row>
    <row r="643" spans="1:3" s="39" customFormat="1" ht="12">
      <c r="A643" s="215" t="s">
        <v>908</v>
      </c>
      <c r="B643" s="562"/>
      <c r="C643" s="562">
        <v>1967</v>
      </c>
    </row>
    <row r="644" spans="1:3" s="39" customFormat="1" ht="12" hidden="1">
      <c r="A644" s="215" t="s">
        <v>314</v>
      </c>
      <c r="B644" s="67"/>
      <c r="C644" s="67"/>
    </row>
    <row r="645" spans="1:3" s="39" customFormat="1" ht="27" customHeight="1" thickBot="1">
      <c r="A645" s="121" t="s">
        <v>77</v>
      </c>
      <c r="B645" s="177">
        <f>B632+B633-B639</f>
        <v>30145</v>
      </c>
      <c r="C645" s="177">
        <f>C632+C633-C639</f>
        <v>30145</v>
      </c>
    </row>
    <row r="646" spans="2:3" s="39" customFormat="1" ht="12">
      <c r="B646" s="175"/>
      <c r="C646" s="175"/>
    </row>
    <row r="647" s="39" customFormat="1" ht="4.5" customHeight="1">
      <c r="B647" s="40"/>
    </row>
    <row r="648" spans="1:3" s="39" customFormat="1" ht="17.25" thickBot="1">
      <c r="A648" s="95" t="s">
        <v>770</v>
      </c>
      <c r="B648" s="43"/>
      <c r="C648" s="44"/>
    </row>
    <row r="649" spans="1:3" s="39" customFormat="1" ht="24">
      <c r="A649" s="247" t="s">
        <v>198</v>
      </c>
      <c r="B649" s="60" t="e">
        <f>B4</f>
        <v>#REF!</v>
      </c>
      <c r="C649" s="60" t="e">
        <f>C4</f>
        <v>#REF!</v>
      </c>
    </row>
    <row r="650" spans="1:3" s="39" customFormat="1" ht="12">
      <c r="A650" s="246" t="s">
        <v>610</v>
      </c>
      <c r="B650" s="178"/>
      <c r="C650" s="178">
        <v>135464</v>
      </c>
    </row>
    <row r="651" spans="1:3" s="39" customFormat="1" ht="12">
      <c r="A651" s="248" t="s">
        <v>246</v>
      </c>
      <c r="B651" s="178">
        <f>B653+B655+B658</f>
        <v>0</v>
      </c>
      <c r="C651" s="178">
        <f>C653+C655+C658+C657</f>
        <v>78964</v>
      </c>
    </row>
    <row r="652" spans="1:3" s="39" customFormat="1" ht="12">
      <c r="A652" s="249" t="s">
        <v>662</v>
      </c>
      <c r="B652" s="176"/>
      <c r="C652" s="176">
        <v>3081</v>
      </c>
    </row>
    <row r="653" spans="1:3" s="39" customFormat="1" ht="12">
      <c r="A653" s="249" t="s">
        <v>47</v>
      </c>
      <c r="B653" s="176"/>
      <c r="C653" s="176">
        <v>8497</v>
      </c>
    </row>
    <row r="654" spans="1:3" s="39" customFormat="1" ht="12">
      <c r="A654" s="249" t="s">
        <v>661</v>
      </c>
      <c r="B654" s="176"/>
      <c r="C654" s="176">
        <v>16135</v>
      </c>
    </row>
    <row r="655" spans="1:3" s="39" customFormat="1" ht="12">
      <c r="A655" s="249" t="s">
        <v>47</v>
      </c>
      <c r="B655" s="176"/>
      <c r="C655" s="176">
        <v>63737</v>
      </c>
    </row>
    <row r="656" spans="1:3" s="39" customFormat="1" ht="12">
      <c r="A656" s="249" t="s">
        <v>660</v>
      </c>
      <c r="B656" s="176">
        <v>0</v>
      </c>
      <c r="C656" s="176">
        <v>0</v>
      </c>
    </row>
    <row r="657" spans="1:3" s="39" customFormat="1" ht="12">
      <c r="A657" s="249" t="s">
        <v>190</v>
      </c>
      <c r="B657" s="176">
        <v>0</v>
      </c>
      <c r="C657" s="176">
        <v>0</v>
      </c>
    </row>
    <row r="658" spans="1:3" s="39" customFormat="1" ht="12">
      <c r="A658" s="249" t="s">
        <v>716</v>
      </c>
      <c r="B658" s="176"/>
      <c r="C658" s="176">
        <v>6730</v>
      </c>
    </row>
    <row r="659" spans="1:3" s="39" customFormat="1" ht="12.75" thickBot="1">
      <c r="A659" s="121" t="s">
        <v>789</v>
      </c>
      <c r="B659" s="177">
        <f>B650+B651</f>
        <v>0</v>
      </c>
      <c r="C659" s="177">
        <f>C650+C651</f>
        <v>214428</v>
      </c>
    </row>
    <row r="660" spans="1:3" s="39" customFormat="1" ht="12.75" hidden="1">
      <c r="A660" s="98"/>
      <c r="B660" s="199" t="str">
        <f>IF(B659=B601,"OK","BŁĄD")</f>
        <v>BŁĄD</v>
      </c>
      <c r="C660" s="199" t="str">
        <f>IF(C659=C601,"OK","BŁĄD")</f>
        <v>OK</v>
      </c>
    </row>
    <row r="661" spans="1:3" s="39" customFormat="1" ht="6.75" customHeight="1">
      <c r="A661" s="98"/>
      <c r="B661" s="99"/>
      <c r="C661" s="100"/>
    </row>
    <row r="662" spans="1:3" s="39" customFormat="1" ht="17.25" thickBot="1">
      <c r="A662" s="95" t="s">
        <v>771</v>
      </c>
      <c r="B662" s="43"/>
      <c r="C662" s="44"/>
    </row>
    <row r="663" spans="1:3" s="39" customFormat="1" ht="24">
      <c r="A663" s="250" t="s">
        <v>607</v>
      </c>
      <c r="B663" s="60" t="e">
        <f>B4</f>
        <v>#REF!</v>
      </c>
      <c r="C663" s="60" t="e">
        <f>C4</f>
        <v>#REF!</v>
      </c>
    </row>
    <row r="664" spans="1:3" s="39" customFormat="1" ht="12">
      <c r="A664" s="251" t="s">
        <v>76</v>
      </c>
      <c r="B664" s="181"/>
      <c r="C664" s="181">
        <v>78351</v>
      </c>
    </row>
    <row r="665" spans="1:3" s="39" customFormat="1" ht="12">
      <c r="A665" s="251" t="s">
        <v>42</v>
      </c>
      <c r="B665" s="181"/>
      <c r="C665" s="181">
        <v>21494</v>
      </c>
    </row>
    <row r="666" spans="1:3" s="39" customFormat="1" ht="12">
      <c r="A666" s="251" t="s">
        <v>43</v>
      </c>
      <c r="B666" s="181"/>
      <c r="C666" s="181">
        <v>12039</v>
      </c>
    </row>
    <row r="667" spans="1:3" s="39" customFormat="1" ht="12">
      <c r="A667" s="251" t="s">
        <v>44</v>
      </c>
      <c r="B667" s="181"/>
      <c r="C667" s="181">
        <v>6622</v>
      </c>
    </row>
    <row r="668" spans="1:3" s="39" customFormat="1" ht="12">
      <c r="A668" s="252" t="s">
        <v>45</v>
      </c>
      <c r="B668" s="181"/>
      <c r="C668" s="181">
        <v>13125</v>
      </c>
    </row>
    <row r="669" spans="1:3" s="39" customFormat="1" ht="12">
      <c r="A669" s="252" t="s">
        <v>727</v>
      </c>
      <c r="B669" s="181"/>
      <c r="C669" s="181">
        <v>53319</v>
      </c>
    </row>
    <row r="670" spans="1:3" s="39" customFormat="1" ht="12">
      <c r="A670" s="253" t="s">
        <v>874</v>
      </c>
      <c r="B670" s="182">
        <f>SUM(B664:B669)</f>
        <v>0</v>
      </c>
      <c r="C670" s="182">
        <f>SUM(C664:C669)</f>
        <v>184950</v>
      </c>
    </row>
    <row r="671" spans="1:3" s="39" customFormat="1" ht="12">
      <c r="A671" s="254" t="s">
        <v>199</v>
      </c>
      <c r="B671" s="191"/>
      <c r="C671" s="191">
        <v>14837</v>
      </c>
    </row>
    <row r="672" spans="1:3" s="39" customFormat="1" ht="12.75" thickBot="1">
      <c r="A672" s="255" t="s">
        <v>875</v>
      </c>
      <c r="B672" s="184">
        <f>B670-B671</f>
        <v>0</v>
      </c>
      <c r="C672" s="184">
        <f>C670-C671</f>
        <v>170113</v>
      </c>
    </row>
    <row r="673" spans="1:3" s="39" customFormat="1" ht="12" hidden="1">
      <c r="A673" s="101"/>
      <c r="B673" s="199" t="str">
        <f>IF(B672=B587+B593,"OK","BŁĄD")</f>
        <v>OK</v>
      </c>
      <c r="C673" s="199" t="str">
        <f>IF(C672=C587+C593,"OK","BŁĄD")</f>
        <v>OK</v>
      </c>
    </row>
    <row r="674" spans="1:3" s="39" customFormat="1" ht="12">
      <c r="A674" s="101"/>
      <c r="B674" s="199"/>
      <c r="C674" s="199"/>
    </row>
    <row r="675" spans="1:3" s="39" customFormat="1" ht="23.25" customHeight="1">
      <c r="A675" s="621" t="s">
        <v>644</v>
      </c>
      <c r="B675" s="621"/>
      <c r="C675" s="621"/>
    </row>
    <row r="676" spans="1:3" s="39" customFormat="1" ht="12">
      <c r="A676" s="101"/>
      <c r="B676" s="199"/>
      <c r="C676" s="199"/>
    </row>
    <row r="677" spans="1:3" s="39" customFormat="1" ht="17.25" thickBot="1">
      <c r="A677" s="95" t="s">
        <v>772</v>
      </c>
      <c r="B677" s="103"/>
      <c r="C677" s="102"/>
    </row>
    <row r="678" spans="1:3" s="39" customFormat="1" ht="36">
      <c r="A678" s="250" t="s">
        <v>605</v>
      </c>
      <c r="B678" s="60" t="e">
        <f>B4</f>
        <v>#REF!</v>
      </c>
      <c r="C678" s="60" t="e">
        <f>C4</f>
        <v>#REF!</v>
      </c>
    </row>
    <row r="679" spans="1:3" s="39" customFormat="1" ht="12">
      <c r="A679" s="251" t="s">
        <v>76</v>
      </c>
      <c r="B679" s="181"/>
      <c r="C679" s="181">
        <v>18975</v>
      </c>
    </row>
    <row r="680" spans="1:3" s="39" customFormat="1" ht="12">
      <c r="A680" s="251" t="s">
        <v>42</v>
      </c>
      <c r="B680" s="181"/>
      <c r="C680" s="181">
        <v>11530</v>
      </c>
    </row>
    <row r="681" spans="1:3" s="39" customFormat="1" ht="12">
      <c r="A681" s="251" t="s">
        <v>43</v>
      </c>
      <c r="B681" s="181"/>
      <c r="C681" s="181">
        <v>1992</v>
      </c>
    </row>
    <row r="682" spans="1:3" s="39" customFormat="1" ht="12">
      <c r="A682" s="251" t="s">
        <v>44</v>
      </c>
      <c r="B682" s="181"/>
      <c r="C682" s="181">
        <v>5928</v>
      </c>
    </row>
    <row r="683" spans="1:3" s="39" customFormat="1" ht="12">
      <c r="A683" s="252" t="s">
        <v>45</v>
      </c>
      <c r="B683" s="181"/>
      <c r="C683" s="181">
        <v>14894</v>
      </c>
    </row>
    <row r="684" spans="1:3" s="39" customFormat="1" ht="24">
      <c r="A684" s="256" t="s">
        <v>606</v>
      </c>
      <c r="B684" s="185">
        <f>SUM(B679:B683)</f>
        <v>0</v>
      </c>
      <c r="C684" s="185">
        <f>SUM(C679:C683)</f>
        <v>53319</v>
      </c>
    </row>
    <row r="685" spans="1:3" s="39" customFormat="1" ht="24">
      <c r="A685" s="254" t="s">
        <v>200</v>
      </c>
      <c r="B685" s="183"/>
      <c r="C685" s="183">
        <v>14837</v>
      </c>
    </row>
    <row r="686" spans="1:3" s="39" customFormat="1" ht="24.75" thickBot="1">
      <c r="A686" s="257" t="s">
        <v>669</v>
      </c>
      <c r="B686" s="127">
        <f>B684-B685</f>
        <v>0</v>
      </c>
      <c r="C686" s="127">
        <f>C684-C685</f>
        <v>38482</v>
      </c>
    </row>
    <row r="687" spans="2:3" s="39" customFormat="1" ht="12" hidden="1">
      <c r="B687" s="199" t="str">
        <f>IF(B684=B669,"OK","BŁĄD")</f>
        <v>OK</v>
      </c>
      <c r="C687" s="199" t="str">
        <f>IF(C684=C669,"OK","BŁĄD")</f>
        <v>OK</v>
      </c>
    </row>
    <row r="688" s="39" customFormat="1" ht="5.25" customHeight="1">
      <c r="B688" s="40"/>
    </row>
    <row r="689" spans="1:2" s="39" customFormat="1" ht="17.25" thickBot="1">
      <c r="A689" s="47" t="s">
        <v>791</v>
      </c>
      <c r="B689" s="40"/>
    </row>
    <row r="690" spans="1:3" s="39" customFormat="1" ht="24">
      <c r="A690" s="258" t="s">
        <v>139</v>
      </c>
      <c r="B690" s="60" t="e">
        <f>B4</f>
        <v>#REF!</v>
      </c>
      <c r="C690" s="60" t="e">
        <f>C4</f>
        <v>#REF!</v>
      </c>
    </row>
    <row r="691" spans="1:3" s="39" customFormat="1" ht="12">
      <c r="A691" s="206" t="s">
        <v>140</v>
      </c>
      <c r="B691" s="151"/>
      <c r="C691" s="151">
        <v>53319</v>
      </c>
    </row>
    <row r="692" spans="1:3" s="39" customFormat="1" ht="24" hidden="1">
      <c r="A692" s="259" t="s">
        <v>141</v>
      </c>
      <c r="B692" s="186"/>
      <c r="C692" s="186"/>
    </row>
    <row r="693" spans="1:3" s="39" customFormat="1" ht="24" hidden="1">
      <c r="A693" s="259" t="s">
        <v>144</v>
      </c>
      <c r="B693" s="186"/>
      <c r="C693" s="186"/>
    </row>
    <row r="694" spans="1:3" s="39" customFormat="1" ht="12">
      <c r="A694" s="206" t="s">
        <v>145</v>
      </c>
      <c r="B694" s="151"/>
      <c r="C694" s="151">
        <f>303+2220-650</f>
        <v>1873</v>
      </c>
    </row>
    <row r="695" spans="1:3" s="39" customFormat="1" ht="12">
      <c r="A695" s="206" t="s">
        <v>424</v>
      </c>
      <c r="B695" s="151">
        <f>SUM(B696:B699)</f>
        <v>0</v>
      </c>
      <c r="C695" s="151">
        <f>SUM(C696:C699)</f>
        <v>15005</v>
      </c>
    </row>
    <row r="696" spans="1:3" s="39" customFormat="1" ht="12">
      <c r="A696" s="206" t="s">
        <v>802</v>
      </c>
      <c r="B696" s="151"/>
      <c r="C696" s="151">
        <v>15005</v>
      </c>
    </row>
    <row r="697" spans="1:3" s="39" customFormat="1" ht="12" hidden="1">
      <c r="A697" s="206" t="s">
        <v>724</v>
      </c>
      <c r="B697" s="151"/>
      <c r="C697" s="151"/>
    </row>
    <row r="698" spans="1:3" s="39" customFormat="1" ht="12" hidden="1">
      <c r="A698" s="206" t="s">
        <v>725</v>
      </c>
      <c r="B698" s="151"/>
      <c r="C698" s="151"/>
    </row>
    <row r="699" spans="1:3" s="39" customFormat="1" ht="12" hidden="1">
      <c r="A699" s="206" t="s">
        <v>652</v>
      </c>
      <c r="B699" s="151"/>
      <c r="C699" s="151"/>
    </row>
    <row r="700" spans="1:3" s="39" customFormat="1" ht="12">
      <c r="A700" s="260" t="s">
        <v>726</v>
      </c>
      <c r="B700" s="190">
        <f>SUM(B691:B695)</f>
        <v>0</v>
      </c>
      <c r="C700" s="190">
        <f>SUM(C691:C695)</f>
        <v>70197</v>
      </c>
    </row>
    <row r="701" spans="1:3" s="39" customFormat="1" ht="12">
      <c r="A701" s="206" t="s">
        <v>87</v>
      </c>
      <c r="B701" s="151"/>
      <c r="C701" s="151">
        <v>30145</v>
      </c>
    </row>
    <row r="702" spans="1:3" s="39" customFormat="1" ht="24.75" thickBot="1">
      <c r="A702" s="261" t="s">
        <v>450</v>
      </c>
      <c r="B702" s="187">
        <f>B700-B701</f>
        <v>0</v>
      </c>
      <c r="C702" s="187">
        <f>C700-C701</f>
        <v>40052</v>
      </c>
    </row>
    <row r="703" spans="1:3" s="39" customFormat="1" ht="12" hidden="1">
      <c r="A703" s="46"/>
      <c r="B703" s="199" t="str">
        <f>IF(B691=B684,"OK","BŁĄD")</f>
        <v>OK</v>
      </c>
      <c r="C703" s="199" t="str">
        <f>IF(C691=C684,"OK","BŁĄD")</f>
        <v>OK</v>
      </c>
    </row>
    <row r="704" spans="1:3" s="39" customFormat="1" ht="12">
      <c r="A704" s="46"/>
      <c r="B704" s="199"/>
      <c r="C704" s="199"/>
    </row>
    <row r="705" s="39" customFormat="1" ht="17.25" thickBot="1">
      <c r="A705" s="48" t="s">
        <v>193</v>
      </c>
    </row>
    <row r="706" spans="1:3" s="39" customFormat="1" ht="24">
      <c r="A706" s="258" t="s">
        <v>451</v>
      </c>
      <c r="B706" s="60" t="e">
        <f>B4</f>
        <v>#REF!</v>
      </c>
      <c r="C706" s="60" t="e">
        <f>C4</f>
        <v>#REF!</v>
      </c>
    </row>
    <row r="707" spans="1:3" s="39" customFormat="1" ht="12">
      <c r="A707" s="206" t="s">
        <v>461</v>
      </c>
      <c r="B707" s="188">
        <v>0</v>
      </c>
      <c r="C707" s="188">
        <v>0</v>
      </c>
    </row>
    <row r="708" spans="1:3" s="39" customFormat="1" ht="24">
      <c r="A708" s="259" t="s">
        <v>462</v>
      </c>
      <c r="B708" s="186">
        <v>0</v>
      </c>
      <c r="C708" s="186">
        <v>0</v>
      </c>
    </row>
    <row r="709" spans="1:3" s="39" customFormat="1" ht="12">
      <c r="A709" s="259" t="s">
        <v>707</v>
      </c>
      <c r="B709" s="186">
        <v>0</v>
      </c>
      <c r="C709" s="186">
        <v>0</v>
      </c>
    </row>
    <row r="710" spans="1:3" s="39" customFormat="1" ht="12">
      <c r="A710" s="206" t="s">
        <v>708</v>
      </c>
      <c r="B710" s="188">
        <v>0</v>
      </c>
      <c r="C710" s="188">
        <v>0</v>
      </c>
    </row>
    <row r="711" spans="1:3" s="39" customFormat="1" ht="12">
      <c r="A711" s="262" t="s">
        <v>709</v>
      </c>
      <c r="B711" s="188">
        <f>SUM(B712:B715)</f>
        <v>0</v>
      </c>
      <c r="C711" s="188">
        <f>SUM(C712:C715)</f>
        <v>15005</v>
      </c>
    </row>
    <row r="712" spans="1:3" s="39" customFormat="1" ht="12">
      <c r="A712" s="262" t="s">
        <v>802</v>
      </c>
      <c r="B712" s="188"/>
      <c r="C712" s="188">
        <v>15005</v>
      </c>
    </row>
    <row r="713" spans="1:3" s="39" customFormat="1" ht="12" hidden="1">
      <c r="A713" s="263" t="s">
        <v>724</v>
      </c>
      <c r="B713" s="188"/>
      <c r="C713" s="188"/>
    </row>
    <row r="714" spans="1:3" s="39" customFormat="1" ht="12" hidden="1">
      <c r="A714" s="206" t="s">
        <v>725</v>
      </c>
      <c r="B714" s="188"/>
      <c r="C714" s="188"/>
    </row>
    <row r="715" spans="1:3" s="39" customFormat="1" ht="12" hidden="1">
      <c r="A715" s="206" t="s">
        <v>652</v>
      </c>
      <c r="B715" s="188"/>
      <c r="C715" s="188"/>
    </row>
    <row r="716" spans="1:3" s="39" customFormat="1" ht="12">
      <c r="A716" s="260" t="s">
        <v>710</v>
      </c>
      <c r="B716" s="189">
        <f>SUM(B707:B711)</f>
        <v>0</v>
      </c>
      <c r="C716" s="189">
        <f>SUM(C707:C711)</f>
        <v>15005</v>
      </c>
    </row>
    <row r="717" spans="1:3" s="39" customFormat="1" ht="12">
      <c r="A717" s="206" t="s">
        <v>87</v>
      </c>
      <c r="B717" s="188"/>
      <c r="C717" s="188">
        <v>15005</v>
      </c>
    </row>
    <row r="718" spans="1:3" s="39" customFormat="1" ht="24.75" thickBot="1">
      <c r="A718" s="261" t="s">
        <v>711</v>
      </c>
      <c r="B718" s="187">
        <f>B716-B717</f>
        <v>0</v>
      </c>
      <c r="C718" s="187">
        <f>C716-C717</f>
        <v>0</v>
      </c>
    </row>
    <row r="720" s="39" customFormat="1" ht="17.25" thickBot="1">
      <c r="A720" s="92" t="s">
        <v>201</v>
      </c>
    </row>
    <row r="721" spans="1:3" s="39" customFormat="1" ht="15" customHeight="1">
      <c r="A721" s="62" t="s">
        <v>946</v>
      </c>
      <c r="B721" s="60" t="e">
        <f>B4</f>
        <v>#REF!</v>
      </c>
      <c r="C721" s="60" t="e">
        <f>C4</f>
        <v>#REF!</v>
      </c>
    </row>
    <row r="722" spans="1:3" s="39" customFormat="1" ht="12">
      <c r="A722" s="122" t="s">
        <v>68</v>
      </c>
      <c r="B722" s="150">
        <f>SUM(B723:B730)</f>
        <v>0</v>
      </c>
      <c r="C722" s="150">
        <f>SUM(C723:C730)</f>
        <v>3000</v>
      </c>
    </row>
    <row r="723" spans="1:3" s="39" customFormat="1" ht="12" hidden="1">
      <c r="A723" s="55" t="s">
        <v>222</v>
      </c>
      <c r="B723" s="151"/>
      <c r="C723" s="151"/>
    </row>
    <row r="724" spans="1:3" s="39" customFormat="1" ht="12.75" customHeight="1" hidden="1">
      <c r="A724" s="55" t="s">
        <v>69</v>
      </c>
      <c r="B724" s="151"/>
      <c r="C724" s="151"/>
    </row>
    <row r="725" spans="1:3" s="39" customFormat="1" ht="12.75" customHeight="1" hidden="1">
      <c r="A725" s="55" t="s">
        <v>70</v>
      </c>
      <c r="B725" s="151"/>
      <c r="C725" s="151"/>
    </row>
    <row r="726" spans="1:3" s="39" customFormat="1" ht="12" hidden="1">
      <c r="A726" s="55" t="s">
        <v>233</v>
      </c>
      <c r="B726" s="151"/>
      <c r="C726" s="151"/>
    </row>
    <row r="727" spans="1:3" s="39" customFormat="1" ht="12.75" customHeight="1" hidden="1">
      <c r="A727" s="55" t="s">
        <v>234</v>
      </c>
      <c r="B727" s="151"/>
      <c r="C727" s="151"/>
    </row>
    <row r="728" spans="1:3" s="39" customFormat="1" ht="12">
      <c r="A728" s="55" t="s">
        <v>223</v>
      </c>
      <c r="B728" s="151"/>
      <c r="C728" s="151">
        <v>3000</v>
      </c>
    </row>
    <row r="729" spans="1:3" s="39" customFormat="1" ht="12" hidden="1">
      <c r="A729" s="55" t="s">
        <v>876</v>
      </c>
      <c r="B729" s="151"/>
      <c r="C729" s="151"/>
    </row>
    <row r="730" spans="1:3" s="39" customFormat="1" ht="12" hidden="1">
      <c r="A730" s="55" t="s">
        <v>234</v>
      </c>
      <c r="B730" s="151"/>
      <c r="C730" s="151"/>
    </row>
    <row r="731" spans="1:3" s="39" customFormat="1" ht="12">
      <c r="A731" s="122" t="s">
        <v>877</v>
      </c>
      <c r="B731" s="150">
        <f>SUM(B732:B739)</f>
        <v>0</v>
      </c>
      <c r="C731" s="150">
        <f>SUM(C732:C739)</f>
        <v>0</v>
      </c>
    </row>
    <row r="732" spans="1:3" s="39" customFormat="1" ht="12" hidden="1">
      <c r="A732" s="55" t="s">
        <v>222</v>
      </c>
      <c r="B732" s="151"/>
      <c r="C732" s="151"/>
    </row>
    <row r="733" spans="1:3" s="39" customFormat="1" ht="12" hidden="1">
      <c r="A733" s="55" t="s">
        <v>69</v>
      </c>
      <c r="B733" s="151"/>
      <c r="C733" s="151"/>
    </row>
    <row r="734" spans="1:3" s="39" customFormat="1" ht="12" hidden="1">
      <c r="A734" s="55" t="s">
        <v>70</v>
      </c>
      <c r="B734" s="151"/>
      <c r="C734" s="151"/>
    </row>
    <row r="735" spans="1:3" s="39" customFormat="1" ht="12" hidden="1">
      <c r="A735" s="55" t="s">
        <v>233</v>
      </c>
      <c r="B735" s="151"/>
      <c r="C735" s="151"/>
    </row>
    <row r="736" spans="1:3" s="39" customFormat="1" ht="12" hidden="1">
      <c r="A736" s="55" t="s">
        <v>234</v>
      </c>
      <c r="B736" s="151"/>
      <c r="C736" s="151"/>
    </row>
    <row r="737" spans="1:3" s="39" customFormat="1" ht="12" hidden="1">
      <c r="A737" s="55" t="s">
        <v>223</v>
      </c>
      <c r="B737" s="151"/>
      <c r="C737" s="151"/>
    </row>
    <row r="738" spans="1:3" s="39" customFormat="1" ht="12" hidden="1">
      <c r="A738" s="55" t="s">
        <v>876</v>
      </c>
      <c r="B738" s="151"/>
      <c r="C738" s="151"/>
    </row>
    <row r="739" spans="1:3" s="39" customFormat="1" ht="12" hidden="1">
      <c r="A739" s="55" t="s">
        <v>234</v>
      </c>
      <c r="B739" s="151"/>
      <c r="C739" s="151"/>
    </row>
    <row r="740" spans="1:3" s="39" customFormat="1" ht="12">
      <c r="A740" s="122" t="s">
        <v>880</v>
      </c>
      <c r="B740" s="150">
        <f>SUM(B741:B748)</f>
        <v>0</v>
      </c>
      <c r="C740" s="150">
        <f>SUM(C741:C748)</f>
        <v>0</v>
      </c>
    </row>
    <row r="741" spans="1:3" s="39" customFormat="1" ht="12">
      <c r="A741" s="55" t="s">
        <v>222</v>
      </c>
      <c r="B741" s="151">
        <f>13716-13716</f>
        <v>0</v>
      </c>
      <c r="C741" s="151">
        <f>13716-13716</f>
        <v>0</v>
      </c>
    </row>
    <row r="742" spans="1:3" s="39" customFormat="1" ht="12" hidden="1">
      <c r="A742" s="55" t="s">
        <v>69</v>
      </c>
      <c r="B742" s="151"/>
      <c r="C742" s="151"/>
    </row>
    <row r="743" spans="1:3" s="39" customFormat="1" ht="12" hidden="1">
      <c r="A743" s="55" t="s">
        <v>70</v>
      </c>
      <c r="B743" s="151"/>
      <c r="C743" s="151"/>
    </row>
    <row r="744" spans="1:3" s="39" customFormat="1" ht="12" hidden="1">
      <c r="A744" s="55" t="s">
        <v>233</v>
      </c>
      <c r="B744" s="151"/>
      <c r="C744" s="151"/>
    </row>
    <row r="745" spans="1:3" s="39" customFormat="1" ht="12" hidden="1">
      <c r="A745" s="55" t="s">
        <v>234</v>
      </c>
      <c r="B745" s="151"/>
      <c r="C745" s="151"/>
    </row>
    <row r="746" spans="1:3" s="39" customFormat="1" ht="12" hidden="1">
      <c r="A746" s="55" t="s">
        <v>223</v>
      </c>
      <c r="B746" s="151"/>
      <c r="C746" s="151"/>
    </row>
    <row r="747" spans="1:3" s="39" customFormat="1" ht="12" hidden="1">
      <c r="A747" s="55" t="s">
        <v>876</v>
      </c>
      <c r="B747" s="151"/>
      <c r="C747" s="151"/>
    </row>
    <row r="748" spans="1:3" s="39" customFormat="1" ht="12" hidden="1">
      <c r="A748" s="55" t="s">
        <v>234</v>
      </c>
      <c r="B748" s="151"/>
      <c r="C748" s="151"/>
    </row>
    <row r="749" spans="1:3" s="39" customFormat="1" ht="12">
      <c r="A749" s="122" t="s">
        <v>884</v>
      </c>
      <c r="B749" s="150">
        <f>SUM(B750:B757)</f>
        <v>0</v>
      </c>
      <c r="C749" s="150">
        <f>SUM(C750:C757)</f>
        <v>0</v>
      </c>
    </row>
    <row r="750" spans="1:3" s="39" customFormat="1" ht="12" hidden="1">
      <c r="A750" s="55" t="s">
        <v>222</v>
      </c>
      <c r="B750" s="151"/>
      <c r="C750" s="151"/>
    </row>
    <row r="751" spans="1:3" s="39" customFormat="1" ht="12" hidden="1">
      <c r="A751" s="55" t="s">
        <v>69</v>
      </c>
      <c r="B751" s="151"/>
      <c r="C751" s="151"/>
    </row>
    <row r="752" spans="1:3" s="39" customFormat="1" ht="12" hidden="1">
      <c r="A752" s="55" t="s">
        <v>70</v>
      </c>
      <c r="B752" s="151"/>
      <c r="C752" s="151"/>
    </row>
    <row r="753" spans="1:3" s="39" customFormat="1" ht="12" hidden="1">
      <c r="A753" s="55" t="s">
        <v>233</v>
      </c>
      <c r="B753" s="151"/>
      <c r="C753" s="151"/>
    </row>
    <row r="754" spans="1:3" s="39" customFormat="1" ht="12" hidden="1">
      <c r="A754" s="55" t="s">
        <v>234</v>
      </c>
      <c r="B754" s="151"/>
      <c r="C754" s="151"/>
    </row>
    <row r="755" spans="1:3" s="39" customFormat="1" ht="12" hidden="1">
      <c r="A755" s="55" t="s">
        <v>223</v>
      </c>
      <c r="B755" s="151"/>
      <c r="C755" s="151"/>
    </row>
    <row r="756" spans="1:3" s="39" customFormat="1" ht="12" hidden="1">
      <c r="A756" s="55" t="s">
        <v>876</v>
      </c>
      <c r="B756" s="151"/>
      <c r="C756" s="151"/>
    </row>
    <row r="757" spans="1:3" s="39" customFormat="1" ht="12" hidden="1">
      <c r="A757" s="55" t="s">
        <v>234</v>
      </c>
      <c r="B757" s="151"/>
      <c r="C757" s="151"/>
    </row>
    <row r="758" spans="1:3" s="39" customFormat="1" ht="12">
      <c r="A758" s="122" t="s">
        <v>617</v>
      </c>
      <c r="B758" s="150">
        <f>SUM(B759:B766)</f>
        <v>0</v>
      </c>
      <c r="C758" s="150">
        <f>SUM(C759:C766)</f>
        <v>0</v>
      </c>
    </row>
    <row r="759" spans="1:3" s="39" customFormat="1" ht="12" hidden="1">
      <c r="A759" s="55" t="s">
        <v>222</v>
      </c>
      <c r="B759" s="151"/>
      <c r="C759" s="151"/>
    </row>
    <row r="760" spans="1:3" s="39" customFormat="1" ht="12" hidden="1">
      <c r="A760" s="55" t="s">
        <v>69</v>
      </c>
      <c r="B760" s="151"/>
      <c r="C760" s="151"/>
    </row>
    <row r="761" spans="1:3" s="39" customFormat="1" ht="12" hidden="1">
      <c r="A761" s="55" t="s">
        <v>70</v>
      </c>
      <c r="B761" s="151"/>
      <c r="C761" s="151"/>
    </row>
    <row r="762" spans="1:3" s="39" customFormat="1" ht="12" hidden="1">
      <c r="A762" s="55" t="s">
        <v>233</v>
      </c>
      <c r="B762" s="151"/>
      <c r="C762" s="151"/>
    </row>
    <row r="763" spans="1:3" s="39" customFormat="1" ht="12" hidden="1">
      <c r="A763" s="55" t="s">
        <v>234</v>
      </c>
      <c r="B763" s="151"/>
      <c r="C763" s="151"/>
    </row>
    <row r="764" spans="1:3" s="39" customFormat="1" ht="12" hidden="1">
      <c r="A764" s="55" t="s">
        <v>223</v>
      </c>
      <c r="B764" s="151"/>
      <c r="C764" s="151"/>
    </row>
    <row r="765" spans="1:3" s="39" customFormat="1" ht="12" hidden="1">
      <c r="A765" s="55" t="s">
        <v>876</v>
      </c>
      <c r="B765" s="151"/>
      <c r="C765" s="151"/>
    </row>
    <row r="766" spans="1:3" s="39" customFormat="1" ht="12" hidden="1">
      <c r="A766" s="55" t="s">
        <v>234</v>
      </c>
      <c r="B766" s="151"/>
      <c r="C766" s="151"/>
    </row>
    <row r="767" spans="1:3" s="39" customFormat="1" ht="12">
      <c r="A767" s="122" t="s">
        <v>618</v>
      </c>
      <c r="B767" s="150">
        <f>SUM(B768:B777)-B772-B773</f>
        <v>0</v>
      </c>
      <c r="C767" s="150">
        <f>SUM(C768:C777)-C772-C773</f>
        <v>2520</v>
      </c>
    </row>
    <row r="768" spans="1:3" s="39" customFormat="1" ht="12">
      <c r="A768" s="55" t="s">
        <v>222</v>
      </c>
      <c r="B768" s="151"/>
      <c r="C768" s="151">
        <v>2520</v>
      </c>
    </row>
    <row r="769" spans="1:3" s="39" customFormat="1" ht="12" hidden="1">
      <c r="A769" s="55" t="s">
        <v>69</v>
      </c>
      <c r="B769" s="151"/>
      <c r="C769" s="151"/>
    </row>
    <row r="770" spans="1:3" s="39" customFormat="1" ht="12" hidden="1">
      <c r="A770" s="55" t="s">
        <v>70</v>
      </c>
      <c r="B770" s="151"/>
      <c r="C770" s="151"/>
    </row>
    <row r="771" spans="1:3" s="39" customFormat="1" ht="12" hidden="1">
      <c r="A771" s="55" t="s">
        <v>233</v>
      </c>
      <c r="B771" s="151">
        <f>SUM(B772:B773)</f>
        <v>0</v>
      </c>
      <c r="C771" s="151">
        <f>SUM(C772:C773)</f>
        <v>0</v>
      </c>
    </row>
    <row r="772" spans="1:3" s="39" customFormat="1" ht="12" hidden="1">
      <c r="A772" s="66" t="s">
        <v>89</v>
      </c>
      <c r="B772" s="195"/>
      <c r="C772" s="195"/>
    </row>
    <row r="773" spans="1:3" s="39" customFormat="1" ht="12" hidden="1">
      <c r="A773" s="55" t="s">
        <v>234</v>
      </c>
      <c r="B773" s="151"/>
      <c r="C773" s="151"/>
    </row>
    <row r="774" spans="1:3" s="39" customFormat="1" ht="12" hidden="1">
      <c r="A774" s="55" t="s">
        <v>223</v>
      </c>
      <c r="B774" s="151"/>
      <c r="C774" s="151"/>
    </row>
    <row r="775" spans="1:3" s="39" customFormat="1" ht="12" hidden="1">
      <c r="A775" s="55" t="s">
        <v>876</v>
      </c>
      <c r="B775" s="151"/>
      <c r="C775" s="151"/>
    </row>
    <row r="776" spans="1:3" s="39" customFormat="1" ht="12" hidden="1">
      <c r="A776" s="55" t="s">
        <v>90</v>
      </c>
      <c r="B776" s="151"/>
      <c r="C776" s="151"/>
    </row>
    <row r="777" spans="1:3" s="39" customFormat="1" ht="12" hidden="1">
      <c r="A777" s="55" t="s">
        <v>234</v>
      </c>
      <c r="B777" s="151"/>
      <c r="C777" s="151"/>
    </row>
    <row r="778" spans="1:3" s="39" customFormat="1" ht="12">
      <c r="A778" s="122" t="s">
        <v>879</v>
      </c>
      <c r="B778" s="150">
        <f>SUM(B779:B781)</f>
        <v>0</v>
      </c>
      <c r="C778" s="150">
        <f>SUM(C779:C781)</f>
        <v>34450</v>
      </c>
    </row>
    <row r="779" spans="1:3" s="39" customFormat="1" ht="12">
      <c r="A779" s="55" t="s">
        <v>286</v>
      </c>
      <c r="B779" s="151"/>
      <c r="C779" s="151">
        <f>34165+285</f>
        <v>34450</v>
      </c>
    </row>
    <row r="780" spans="1:3" s="39" customFormat="1" ht="12" hidden="1">
      <c r="A780" s="55" t="s">
        <v>180</v>
      </c>
      <c r="B780" s="151"/>
      <c r="C780" s="151"/>
    </row>
    <row r="781" spans="1:3" s="39" customFormat="1" ht="12" hidden="1">
      <c r="A781" s="55" t="s">
        <v>231</v>
      </c>
      <c r="B781" s="151"/>
      <c r="C781" s="151"/>
    </row>
    <row r="782" spans="1:3" s="39" customFormat="1" ht="12.75" thickBot="1">
      <c r="A782" s="125" t="s">
        <v>878</v>
      </c>
      <c r="B782" s="165">
        <f>B722+B731+B740+B749+B758+B767+B778</f>
        <v>0</v>
      </c>
      <c r="C782" s="165">
        <f>C722+C731+C740+C749+C758+C767+C778</f>
        <v>39970</v>
      </c>
    </row>
    <row r="783" s="39" customFormat="1" ht="12">
      <c r="B783" s="104"/>
    </row>
    <row r="784" s="39" customFormat="1" ht="3" customHeight="1">
      <c r="B784" s="104"/>
    </row>
    <row r="785" spans="1:3" s="39" customFormat="1" ht="17.25" thickBot="1">
      <c r="A785" s="42" t="s">
        <v>88</v>
      </c>
      <c r="B785" s="105"/>
      <c r="C785" s="106"/>
    </row>
    <row r="786" spans="1:3" s="39" customFormat="1" ht="34.5" customHeight="1">
      <c r="A786" s="245" t="s">
        <v>10</v>
      </c>
      <c r="B786" s="60" t="e">
        <f>B4</f>
        <v>#REF!</v>
      </c>
      <c r="C786" s="60" t="e">
        <f>C4</f>
        <v>#REF!</v>
      </c>
    </row>
    <row r="787" spans="1:3" s="39" customFormat="1" ht="12">
      <c r="A787" s="264" t="s">
        <v>610</v>
      </c>
      <c r="B787" s="128"/>
      <c r="C787" s="128">
        <f>16237-13716-1</f>
        <v>2520</v>
      </c>
    </row>
    <row r="788" spans="1:3" s="39" customFormat="1" ht="12">
      <c r="A788" s="264" t="s">
        <v>246</v>
      </c>
      <c r="B788" s="128">
        <f>B790+B792+B794+B796+B797</f>
        <v>0</v>
      </c>
      <c r="C788" s="128">
        <f>C790+C792+C794+C796+C797</f>
        <v>0</v>
      </c>
    </row>
    <row r="789" spans="1:3" s="39" customFormat="1" ht="12" hidden="1">
      <c r="A789" s="249" t="s">
        <v>612</v>
      </c>
      <c r="B789" s="194"/>
      <c r="C789" s="194"/>
    </row>
    <row r="790" spans="1:3" s="39" customFormat="1" ht="12" hidden="1">
      <c r="A790" s="249" t="s">
        <v>47</v>
      </c>
      <c r="B790" s="181"/>
      <c r="C790" s="181"/>
    </row>
    <row r="791" spans="1:3" s="39" customFormat="1" ht="12" hidden="1">
      <c r="A791" s="249" t="s">
        <v>613</v>
      </c>
      <c r="B791" s="194"/>
      <c r="C791" s="194"/>
    </row>
    <row r="792" spans="1:3" s="39" customFormat="1" ht="12" hidden="1">
      <c r="A792" s="249" t="s">
        <v>47</v>
      </c>
      <c r="B792" s="194"/>
      <c r="C792" s="194"/>
    </row>
    <row r="793" spans="1:3" s="39" customFormat="1" ht="12" hidden="1">
      <c r="A793" s="249" t="s">
        <v>614</v>
      </c>
      <c r="B793" s="194"/>
      <c r="C793" s="194"/>
    </row>
    <row r="794" spans="1:3" s="39" customFormat="1" ht="12" hidden="1">
      <c r="A794" s="249" t="s">
        <v>47</v>
      </c>
      <c r="B794" s="194"/>
      <c r="C794" s="194"/>
    </row>
    <row r="795" spans="1:3" s="39" customFormat="1" ht="12" hidden="1">
      <c r="A795" s="249" t="s">
        <v>324</v>
      </c>
      <c r="B795" s="194"/>
      <c r="C795" s="194"/>
    </row>
    <row r="796" spans="1:3" s="39" customFormat="1" ht="12" hidden="1">
      <c r="A796" s="249" t="s">
        <v>47</v>
      </c>
      <c r="B796" s="194"/>
      <c r="C796" s="194"/>
    </row>
    <row r="797" spans="1:3" s="39" customFormat="1" ht="12" hidden="1">
      <c r="A797" s="249" t="s">
        <v>325</v>
      </c>
      <c r="B797" s="194"/>
      <c r="C797" s="194"/>
    </row>
    <row r="798" spans="1:3" s="39" customFormat="1" ht="24.75" thickBot="1">
      <c r="A798" s="257" t="s">
        <v>563</v>
      </c>
      <c r="B798" s="127">
        <f>B787+B788</f>
        <v>0</v>
      </c>
      <c r="C798" s="127">
        <f>C787+C788</f>
        <v>2520</v>
      </c>
    </row>
    <row r="799" spans="1:3" s="39" customFormat="1" ht="12.75" hidden="1">
      <c r="A799" s="98"/>
      <c r="B799" s="200" t="str">
        <f>IF(B798=B723+B724+B725+B726+B732+B733+B734+B735+B741+B742+B743+B744+B750+B751+B752+B753+B759+B760+B761+B762+B768+B769+B770+B771,"OK.","BŁĄD")</f>
        <v>OK.</v>
      </c>
      <c r="C799" s="200" t="str">
        <f>IF(C798=C723+C724+C725+C726+C732+C733+C734+C735+C741+C742+C743+C744+C750+C751+C752+C753+C759+C760+C761+C762+C768+C769+C770+C771,"OK.","BŁĄD")</f>
        <v>OK.</v>
      </c>
    </row>
    <row r="800" spans="1:3" s="39" customFormat="1" ht="12.75">
      <c r="A800" s="98"/>
      <c r="B800" s="200"/>
      <c r="C800" s="200"/>
    </row>
    <row r="801" spans="1:3" s="39" customFormat="1" ht="17.25" thickBot="1">
      <c r="A801" s="42" t="s">
        <v>773</v>
      </c>
      <c r="B801" s="106"/>
      <c r="C801" s="106"/>
    </row>
    <row r="802" spans="1:3" s="39" customFormat="1" ht="25.5" customHeight="1">
      <c r="A802" s="245" t="s">
        <v>855</v>
      </c>
      <c r="B802" s="60" t="e">
        <f>B4</f>
        <v>#REF!</v>
      </c>
      <c r="C802" s="60" t="e">
        <f>C4</f>
        <v>#REF!</v>
      </c>
    </row>
    <row r="803" spans="1:3" s="39" customFormat="1" ht="12.75" customHeight="1">
      <c r="A803" s="265" t="s">
        <v>856</v>
      </c>
      <c r="B803" s="196">
        <f>B804+B808+B812</f>
        <v>0</v>
      </c>
      <c r="C803" s="196">
        <f>C804+C808+C812</f>
        <v>0</v>
      </c>
    </row>
    <row r="804" spans="1:3" s="39" customFormat="1" ht="12">
      <c r="A804" s="266" t="s">
        <v>598</v>
      </c>
      <c r="B804" s="181">
        <v>0</v>
      </c>
      <c r="C804" s="181">
        <v>0</v>
      </c>
    </row>
    <row r="805" spans="1:3" s="39" customFormat="1" ht="12" hidden="1">
      <c r="A805" s="266" t="s">
        <v>564</v>
      </c>
      <c r="B805" s="181"/>
      <c r="C805" s="181"/>
    </row>
    <row r="806" spans="1:3" s="39" customFormat="1" ht="12" hidden="1">
      <c r="A806" s="266" t="s">
        <v>326</v>
      </c>
      <c r="B806" s="181"/>
      <c r="C806" s="181"/>
    </row>
    <row r="807" spans="1:3" s="39" customFormat="1" ht="12" hidden="1">
      <c r="A807" s="266" t="s">
        <v>599</v>
      </c>
      <c r="B807" s="181"/>
      <c r="C807" s="181"/>
    </row>
    <row r="808" spans="1:3" s="39" customFormat="1" ht="12">
      <c r="A808" s="266" t="s">
        <v>600</v>
      </c>
      <c r="B808" s="181">
        <v>0</v>
      </c>
      <c r="C808" s="181">
        <v>0</v>
      </c>
    </row>
    <row r="809" spans="1:3" s="39" customFormat="1" ht="12" hidden="1">
      <c r="A809" s="266" t="s">
        <v>564</v>
      </c>
      <c r="B809" s="181"/>
      <c r="C809" s="181"/>
    </row>
    <row r="810" spans="1:3" s="39" customFormat="1" ht="12" hidden="1">
      <c r="A810" s="266" t="s">
        <v>326</v>
      </c>
      <c r="B810" s="181"/>
      <c r="C810" s="181"/>
    </row>
    <row r="811" spans="1:3" s="39" customFormat="1" ht="12" hidden="1">
      <c r="A811" s="266" t="s">
        <v>599</v>
      </c>
      <c r="B811" s="181"/>
      <c r="C811" s="181"/>
    </row>
    <row r="812" spans="1:3" s="39" customFormat="1" ht="12">
      <c r="A812" s="266" t="s">
        <v>601</v>
      </c>
      <c r="B812" s="181">
        <v>0</v>
      </c>
      <c r="C812" s="181">
        <v>0</v>
      </c>
    </row>
    <row r="813" spans="1:3" s="39" customFormat="1" ht="12" hidden="1">
      <c r="A813" s="215" t="s">
        <v>602</v>
      </c>
      <c r="B813" s="181"/>
      <c r="C813" s="181"/>
    </row>
    <row r="814" spans="1:3" s="39" customFormat="1" ht="12" hidden="1">
      <c r="A814" s="266" t="s">
        <v>564</v>
      </c>
      <c r="B814" s="181"/>
      <c r="C814" s="181"/>
    </row>
    <row r="815" spans="1:3" s="39" customFormat="1" ht="12" hidden="1">
      <c r="A815" s="266" t="s">
        <v>326</v>
      </c>
      <c r="B815" s="181"/>
      <c r="C815" s="181"/>
    </row>
    <row r="816" spans="1:3" s="39" customFormat="1" ht="12" hidden="1">
      <c r="A816" s="215" t="s">
        <v>599</v>
      </c>
      <c r="B816" s="181"/>
      <c r="C816" s="181"/>
    </row>
    <row r="817" spans="1:3" s="39" customFormat="1" ht="12" hidden="1">
      <c r="A817" s="215" t="s">
        <v>401</v>
      </c>
      <c r="B817" s="181"/>
      <c r="C817" s="181"/>
    </row>
    <row r="818" spans="1:3" s="39" customFormat="1" ht="24">
      <c r="A818" s="264" t="s">
        <v>13</v>
      </c>
      <c r="B818" s="196">
        <f>B819+B823+B827</f>
        <v>0</v>
      </c>
      <c r="C818" s="196">
        <f>C819+C823+C827</f>
        <v>0</v>
      </c>
    </row>
    <row r="819" spans="1:3" s="39" customFormat="1" ht="12">
      <c r="A819" s="266" t="s">
        <v>598</v>
      </c>
      <c r="B819" s="181">
        <v>0</v>
      </c>
      <c r="C819" s="181">
        <v>0</v>
      </c>
    </row>
    <row r="820" spans="1:3" s="39" customFormat="1" ht="12" hidden="1">
      <c r="A820" s="266" t="s">
        <v>810</v>
      </c>
      <c r="B820" s="181"/>
      <c r="C820" s="181"/>
    </row>
    <row r="821" spans="1:3" s="39" customFormat="1" ht="12" hidden="1">
      <c r="A821" s="266" t="s">
        <v>327</v>
      </c>
      <c r="B821" s="181"/>
      <c r="C821" s="181"/>
    </row>
    <row r="822" spans="1:3" s="39" customFormat="1" ht="12" hidden="1">
      <c r="A822" s="266" t="s">
        <v>311</v>
      </c>
      <c r="B822" s="181"/>
      <c r="C822" s="181"/>
    </row>
    <row r="823" spans="1:3" s="39" customFormat="1" ht="12">
      <c r="A823" s="266" t="s">
        <v>600</v>
      </c>
      <c r="B823" s="181">
        <v>0</v>
      </c>
      <c r="C823" s="181">
        <v>0</v>
      </c>
    </row>
    <row r="824" spans="1:3" s="39" customFormat="1" ht="12" hidden="1">
      <c r="A824" s="266" t="s">
        <v>810</v>
      </c>
      <c r="B824" s="181"/>
      <c r="C824" s="181"/>
    </row>
    <row r="825" spans="1:3" s="39" customFormat="1" ht="12" hidden="1">
      <c r="A825" s="266" t="s">
        <v>327</v>
      </c>
      <c r="B825" s="181"/>
      <c r="C825" s="181"/>
    </row>
    <row r="826" spans="1:3" s="39" customFormat="1" ht="12" hidden="1">
      <c r="A826" s="266" t="s">
        <v>311</v>
      </c>
      <c r="B826" s="181"/>
      <c r="C826" s="181"/>
    </row>
    <row r="827" spans="1:3" s="39" customFormat="1" ht="12">
      <c r="A827" s="266" t="s">
        <v>601</v>
      </c>
      <c r="B827" s="181">
        <v>0</v>
      </c>
      <c r="C827" s="181">
        <v>0</v>
      </c>
    </row>
    <row r="828" spans="1:3" s="39" customFormat="1" ht="12" hidden="1">
      <c r="A828" s="215" t="s">
        <v>602</v>
      </c>
      <c r="B828" s="181"/>
      <c r="C828" s="181"/>
    </row>
    <row r="829" spans="1:3" s="39" customFormat="1" ht="12" hidden="1">
      <c r="A829" s="266" t="s">
        <v>564</v>
      </c>
      <c r="B829" s="181"/>
      <c r="C829" s="181"/>
    </row>
    <row r="830" spans="1:3" s="39" customFormat="1" ht="12" hidden="1">
      <c r="A830" s="266" t="s">
        <v>326</v>
      </c>
      <c r="B830" s="181"/>
      <c r="C830" s="181"/>
    </row>
    <row r="831" spans="1:3" s="39" customFormat="1" ht="12" hidden="1">
      <c r="A831" s="215" t="s">
        <v>599</v>
      </c>
      <c r="B831" s="181"/>
      <c r="C831" s="181"/>
    </row>
    <row r="832" spans="1:3" s="39" customFormat="1" ht="12" hidden="1">
      <c r="A832" s="215" t="s">
        <v>401</v>
      </c>
      <c r="B832" s="181"/>
      <c r="C832" s="181"/>
    </row>
    <row r="833" spans="1:3" s="39" customFormat="1" ht="24">
      <c r="A833" s="264" t="s">
        <v>683</v>
      </c>
      <c r="B833" s="196">
        <f>B834+B838+B842</f>
        <v>0</v>
      </c>
      <c r="C833" s="196">
        <f>C834+C838+C842</f>
        <v>0</v>
      </c>
    </row>
    <row r="834" spans="1:3" s="39" customFormat="1" ht="12">
      <c r="A834" s="266" t="s">
        <v>598</v>
      </c>
      <c r="B834" s="181">
        <v>0</v>
      </c>
      <c r="C834" s="181">
        <v>0</v>
      </c>
    </row>
    <row r="835" spans="1:3" s="39" customFormat="1" ht="12" hidden="1">
      <c r="A835" s="266" t="s">
        <v>564</v>
      </c>
      <c r="B835" s="181"/>
      <c r="C835" s="181"/>
    </row>
    <row r="836" spans="1:3" s="39" customFormat="1" ht="12" hidden="1">
      <c r="A836" s="266" t="s">
        <v>326</v>
      </c>
      <c r="B836" s="181"/>
      <c r="C836" s="181"/>
    </row>
    <row r="837" spans="1:3" s="39" customFormat="1" ht="12" hidden="1">
      <c r="A837" s="266" t="s">
        <v>599</v>
      </c>
      <c r="B837" s="181"/>
      <c r="C837" s="181"/>
    </row>
    <row r="838" spans="1:3" s="39" customFormat="1" ht="12">
      <c r="A838" s="266" t="s">
        <v>600</v>
      </c>
      <c r="B838" s="181">
        <v>0</v>
      </c>
      <c r="C838" s="181">
        <v>0</v>
      </c>
    </row>
    <row r="839" spans="1:3" s="39" customFormat="1" ht="12" hidden="1">
      <c r="A839" s="266" t="s">
        <v>564</v>
      </c>
      <c r="B839" s="194"/>
      <c r="C839" s="194"/>
    </row>
    <row r="840" spans="1:3" s="39" customFormat="1" ht="12" hidden="1">
      <c r="A840" s="266" t="s">
        <v>326</v>
      </c>
      <c r="B840" s="194"/>
      <c r="C840" s="194"/>
    </row>
    <row r="841" spans="1:3" s="39" customFormat="1" ht="12" hidden="1">
      <c r="A841" s="266" t="s">
        <v>599</v>
      </c>
      <c r="B841" s="194"/>
      <c r="C841" s="194"/>
    </row>
    <row r="842" spans="1:3" s="39" customFormat="1" ht="12">
      <c r="A842" s="266" t="s">
        <v>601</v>
      </c>
      <c r="B842" s="181">
        <f>SUM(B843)</f>
        <v>0</v>
      </c>
      <c r="C842" s="181">
        <f>SUM(C843)</f>
        <v>0</v>
      </c>
    </row>
    <row r="843" spans="1:3" s="39" customFormat="1" ht="12" hidden="1">
      <c r="A843" s="215" t="s">
        <v>839</v>
      </c>
      <c r="B843" s="181"/>
      <c r="C843" s="181"/>
    </row>
    <row r="844" spans="1:3" s="39" customFormat="1" ht="12" hidden="1">
      <c r="A844" s="266" t="s">
        <v>564</v>
      </c>
      <c r="B844" s="181"/>
      <c r="C844" s="181"/>
    </row>
    <row r="845" spans="1:3" s="39" customFormat="1" ht="12" hidden="1">
      <c r="A845" s="266" t="s">
        <v>326</v>
      </c>
      <c r="B845" s="181"/>
      <c r="C845" s="181"/>
    </row>
    <row r="846" spans="1:3" s="39" customFormat="1" ht="12" hidden="1">
      <c r="A846" s="215" t="s">
        <v>599</v>
      </c>
      <c r="B846" s="181"/>
      <c r="C846" s="181"/>
    </row>
    <row r="847" spans="1:3" s="39" customFormat="1" ht="12" hidden="1">
      <c r="A847" s="215" t="s">
        <v>401</v>
      </c>
      <c r="B847" s="181"/>
      <c r="C847" s="181"/>
    </row>
    <row r="848" spans="1:3" s="39" customFormat="1" ht="12">
      <c r="A848" s="264" t="s">
        <v>395</v>
      </c>
      <c r="B848" s="128">
        <f>B849+B853+B857</f>
        <v>0</v>
      </c>
      <c r="C848" s="128">
        <f>C849+C853+C857</f>
        <v>2520</v>
      </c>
    </row>
    <row r="849" spans="1:3" s="39" customFormat="1" ht="12">
      <c r="A849" s="266" t="s">
        <v>396</v>
      </c>
      <c r="B849" s="181">
        <f>B850</f>
        <v>0</v>
      </c>
      <c r="C849" s="181">
        <f>C850</f>
        <v>2520</v>
      </c>
    </row>
    <row r="850" spans="1:3" s="39" customFormat="1" ht="12">
      <c r="A850" s="266" t="s">
        <v>564</v>
      </c>
      <c r="B850" s="294"/>
      <c r="C850" s="294">
        <f>16237-13716-1</f>
        <v>2520</v>
      </c>
    </row>
    <row r="851" spans="1:3" s="39" customFormat="1" ht="12">
      <c r="A851" s="266" t="s">
        <v>326</v>
      </c>
      <c r="B851" s="294">
        <v>0</v>
      </c>
      <c r="C851" s="181">
        <v>0</v>
      </c>
    </row>
    <row r="852" spans="1:3" s="39" customFormat="1" ht="12">
      <c r="A852" s="266" t="s">
        <v>599</v>
      </c>
      <c r="B852" s="294"/>
      <c r="C852" s="294">
        <f>2521-1</f>
        <v>2520</v>
      </c>
    </row>
    <row r="853" spans="1:3" s="39" customFormat="1" ht="12">
      <c r="A853" s="266" t="s">
        <v>600</v>
      </c>
      <c r="B853" s="181">
        <v>0</v>
      </c>
      <c r="C853" s="181">
        <v>0</v>
      </c>
    </row>
    <row r="854" spans="1:3" s="39" customFormat="1" ht="12" hidden="1">
      <c r="A854" s="266" t="s">
        <v>564</v>
      </c>
      <c r="B854" s="181"/>
      <c r="C854" s="181"/>
    </row>
    <row r="855" spans="1:3" s="39" customFormat="1" ht="12" hidden="1">
      <c r="A855" s="266" t="s">
        <v>326</v>
      </c>
      <c r="B855" s="181"/>
      <c r="C855" s="181"/>
    </row>
    <row r="856" spans="1:3" s="39" customFormat="1" ht="12" hidden="1">
      <c r="A856" s="266" t="s">
        <v>599</v>
      </c>
      <c r="B856" s="181"/>
      <c r="C856" s="181"/>
    </row>
    <row r="857" spans="1:3" s="39" customFormat="1" ht="12">
      <c r="A857" s="266" t="s">
        <v>601</v>
      </c>
      <c r="B857" s="181">
        <f>B858+B862</f>
        <v>0</v>
      </c>
      <c r="C857" s="181">
        <f>C858+C862</f>
        <v>0</v>
      </c>
    </row>
    <row r="858" spans="1:3" s="39" customFormat="1" ht="12" hidden="1">
      <c r="A858" s="215" t="s">
        <v>91</v>
      </c>
      <c r="B858" s="181">
        <f>10096+1-10097</f>
        <v>0</v>
      </c>
      <c r="C858" s="181"/>
    </row>
    <row r="859" spans="1:3" s="39" customFormat="1" ht="12" hidden="1">
      <c r="A859" s="266" t="s">
        <v>564</v>
      </c>
      <c r="B859" s="181">
        <f>10096+1-10097</f>
        <v>0</v>
      </c>
      <c r="C859" s="181"/>
    </row>
    <row r="860" spans="1:3" s="39" customFormat="1" ht="12" hidden="1">
      <c r="A860" s="266" t="s">
        <v>326</v>
      </c>
      <c r="B860" s="181"/>
      <c r="C860" s="181"/>
    </row>
    <row r="861" spans="1:3" s="39" customFormat="1" ht="12" hidden="1">
      <c r="A861" s="215" t="s">
        <v>599</v>
      </c>
      <c r="B861" s="181">
        <f>10096+1-10097</f>
        <v>0</v>
      </c>
      <c r="C861" s="181"/>
    </row>
    <row r="862" spans="1:3" s="39" customFormat="1" ht="12" hidden="1">
      <c r="A862" s="215" t="s">
        <v>92</v>
      </c>
      <c r="B862" s="181"/>
      <c r="C862" s="181"/>
    </row>
    <row r="863" spans="1:3" s="39" customFormat="1" ht="12" hidden="1">
      <c r="A863" s="266" t="s">
        <v>564</v>
      </c>
      <c r="B863" s="181"/>
      <c r="C863" s="181"/>
    </row>
    <row r="864" spans="1:3" s="39" customFormat="1" ht="12" hidden="1">
      <c r="A864" s="266" t="s">
        <v>326</v>
      </c>
      <c r="B864" s="181"/>
      <c r="C864" s="181"/>
    </row>
    <row r="865" spans="1:3" s="39" customFormat="1" ht="12" hidden="1">
      <c r="A865" s="215" t="s">
        <v>599</v>
      </c>
      <c r="B865" s="181"/>
      <c r="C865" s="181"/>
    </row>
    <row r="866" spans="1:3" s="39" customFormat="1" ht="12">
      <c r="A866" s="264" t="s">
        <v>413</v>
      </c>
      <c r="B866" s="128">
        <f>B807+B811+B816+B822+B826+B831+B837+B841+B846+B852+B856+B861+B865</f>
        <v>0</v>
      </c>
      <c r="C866" s="128">
        <f>C807+C811+C816+C822+C826+C831+C837+C841+C846+C852+C856+C861+C865</f>
        <v>2520</v>
      </c>
    </row>
    <row r="867" spans="1:3" s="39" customFormat="1" ht="12">
      <c r="A867" s="264" t="s">
        <v>225</v>
      </c>
      <c r="B867" s="193"/>
      <c r="C867" s="193">
        <v>2520</v>
      </c>
    </row>
    <row r="868" spans="1:3" s="39" customFormat="1" ht="12">
      <c r="A868" s="267" t="s">
        <v>684</v>
      </c>
      <c r="B868" s="193">
        <v>0</v>
      </c>
      <c r="C868" s="193">
        <v>0</v>
      </c>
    </row>
    <row r="869" spans="1:3" s="39" customFormat="1" ht="12.75" thickBot="1">
      <c r="A869" s="268" t="s">
        <v>414</v>
      </c>
      <c r="B869" s="184">
        <f>B803+B818+B833+B848</f>
        <v>0</v>
      </c>
      <c r="C869" s="184">
        <f>C803+C818+C833+C848</f>
        <v>2520</v>
      </c>
    </row>
    <row r="870" spans="2:3" s="39" customFormat="1" ht="12" hidden="1">
      <c r="B870" s="199" t="str">
        <f>IF(B869=B798,"OK","BŁĄD")</f>
        <v>OK</v>
      </c>
      <c r="C870" s="199" t="str">
        <f>IF(C869=C798,"OK","BŁĄD")</f>
        <v>OK</v>
      </c>
    </row>
    <row r="871" spans="2:3" s="39" customFormat="1" ht="12">
      <c r="B871" s="199"/>
      <c r="C871" s="199"/>
    </row>
    <row r="872" spans="1:2" s="39" customFormat="1" ht="17.25" thickBot="1">
      <c r="A872" s="50" t="s">
        <v>774</v>
      </c>
      <c r="B872" s="104"/>
    </row>
    <row r="873" spans="1:3" s="39" customFormat="1" ht="24">
      <c r="A873" s="269" t="s">
        <v>902</v>
      </c>
      <c r="B873" s="60" t="e">
        <f>B4</f>
        <v>#REF!</v>
      </c>
      <c r="C873" s="60" t="e">
        <f>C4</f>
        <v>#REF!</v>
      </c>
    </row>
    <row r="874" spans="1:3" s="39" customFormat="1" ht="12">
      <c r="A874" s="222" t="s">
        <v>610</v>
      </c>
      <c r="B874" s="150"/>
      <c r="C874" s="150">
        <v>3000</v>
      </c>
    </row>
    <row r="875" spans="1:3" s="39" customFormat="1" ht="12">
      <c r="A875" s="270" t="s">
        <v>246</v>
      </c>
      <c r="B875" s="150">
        <f>B877+B879+B880</f>
        <v>0</v>
      </c>
      <c r="C875" s="150">
        <f>C877+C879+C880</f>
        <v>0</v>
      </c>
    </row>
    <row r="876" spans="1:3" s="39" customFormat="1" ht="12" hidden="1">
      <c r="A876" s="236" t="s">
        <v>870</v>
      </c>
      <c r="B876" s="151"/>
      <c r="C876" s="151"/>
    </row>
    <row r="877" spans="1:3" s="39" customFormat="1" ht="12" hidden="1">
      <c r="A877" s="236" t="s">
        <v>47</v>
      </c>
      <c r="B877" s="151"/>
      <c r="C877" s="151"/>
    </row>
    <row r="878" spans="1:3" s="39" customFormat="1" ht="12" hidden="1">
      <c r="A878" s="236" t="s">
        <v>715</v>
      </c>
      <c r="B878" s="151"/>
      <c r="C878" s="151"/>
    </row>
    <row r="879" spans="1:3" s="39" customFormat="1" ht="12" hidden="1">
      <c r="A879" s="236" t="s">
        <v>47</v>
      </c>
      <c r="B879" s="151"/>
      <c r="C879" s="151"/>
    </row>
    <row r="880" spans="1:3" s="39" customFormat="1" ht="12" hidden="1">
      <c r="A880" s="236" t="s">
        <v>716</v>
      </c>
      <c r="B880" s="151"/>
      <c r="C880" s="151"/>
    </row>
    <row r="881" spans="1:3" s="39" customFormat="1" ht="12.75" thickBot="1">
      <c r="A881" s="136" t="s">
        <v>903</v>
      </c>
      <c r="B881" s="164">
        <f>B874+B875</f>
        <v>0</v>
      </c>
      <c r="C881" s="164">
        <f>C874+C875</f>
        <v>3000</v>
      </c>
    </row>
    <row r="882" spans="2:3" s="39" customFormat="1" ht="12" hidden="1">
      <c r="B882" s="199" t="str">
        <f>IF(B881=B728+B737+B746+B755+B764+B774,"OK","BŁĄD")</f>
        <v>OK</v>
      </c>
      <c r="C882" s="199" t="str">
        <f>IF(C881=C728+C737+C746+C755+C764+C774,"OK","BŁĄD")</f>
        <v>OK</v>
      </c>
    </row>
    <row r="883" spans="2:3" s="39" customFormat="1" ht="12">
      <c r="B883" s="199"/>
      <c r="C883" s="199"/>
    </row>
    <row r="884" spans="1:2" s="39" customFormat="1" ht="17.25" thickBot="1">
      <c r="A884" s="92" t="s">
        <v>775</v>
      </c>
      <c r="B884" s="104"/>
    </row>
    <row r="885" spans="1:3" s="39" customFormat="1" ht="24">
      <c r="A885" s="63" t="s">
        <v>148</v>
      </c>
      <c r="B885" s="60" t="e">
        <f>B4</f>
        <v>#REF!</v>
      </c>
      <c r="C885" s="60" t="e">
        <f>C4</f>
        <v>#REF!</v>
      </c>
    </row>
    <row r="886" spans="1:3" s="39" customFormat="1" ht="12">
      <c r="A886" s="264" t="s">
        <v>610</v>
      </c>
      <c r="B886" s="193"/>
      <c r="C886" s="193">
        <f>48+3008+498+285</f>
        <v>3839</v>
      </c>
    </row>
    <row r="887" spans="1:3" s="39" customFormat="1" ht="12">
      <c r="A887" s="264" t="s">
        <v>246</v>
      </c>
      <c r="B887" s="128">
        <f>B889+B893+B894</f>
        <v>0</v>
      </c>
      <c r="C887" s="128">
        <f>C889+C893+C894+C891</f>
        <v>30611</v>
      </c>
    </row>
    <row r="888" spans="1:3" s="39" customFormat="1" ht="12">
      <c r="A888" s="249" t="s">
        <v>655</v>
      </c>
      <c r="B888" s="194"/>
      <c r="C888" s="194">
        <v>678</v>
      </c>
    </row>
    <row r="889" spans="1:3" s="39" customFormat="1" ht="12">
      <c r="A889" s="249" t="s">
        <v>47</v>
      </c>
      <c r="B889" s="194"/>
      <c r="C889" s="194">
        <v>2554</v>
      </c>
    </row>
    <row r="890" spans="1:3" s="39" customFormat="1" ht="12">
      <c r="A890" s="249" t="s">
        <v>657</v>
      </c>
      <c r="B890" s="194"/>
      <c r="C890" s="194">
        <v>0</v>
      </c>
    </row>
    <row r="891" spans="1:3" s="39" customFormat="1" ht="12">
      <c r="A891" s="249" t="s">
        <v>47</v>
      </c>
      <c r="B891" s="194"/>
      <c r="C891" s="194">
        <v>0</v>
      </c>
    </row>
    <row r="892" spans="1:3" s="39" customFormat="1" ht="12">
      <c r="A892" s="249" t="s">
        <v>656</v>
      </c>
      <c r="B892" s="194"/>
      <c r="C892" s="194">
        <v>5811</v>
      </c>
    </row>
    <row r="893" spans="1:3" s="39" customFormat="1" ht="12">
      <c r="A893" s="249" t="s">
        <v>47</v>
      </c>
      <c r="B893" s="194"/>
      <c r="C893" s="194">
        <v>23230</v>
      </c>
    </row>
    <row r="894" spans="1:3" s="39" customFormat="1" ht="12">
      <c r="A894" s="249" t="s">
        <v>64</v>
      </c>
      <c r="B894" s="194"/>
      <c r="C894" s="194">
        <f>4827</f>
        <v>4827</v>
      </c>
    </row>
    <row r="895" spans="1:3" s="39" customFormat="1" ht="12.75" thickBot="1">
      <c r="A895" s="268" t="s">
        <v>149</v>
      </c>
      <c r="B895" s="184">
        <f>B886+B887</f>
        <v>0</v>
      </c>
      <c r="C895" s="184">
        <f>C886+C887</f>
        <v>34450</v>
      </c>
    </row>
    <row r="896" spans="2:3" s="39" customFormat="1" ht="12" hidden="1">
      <c r="B896" s="199" t="str">
        <f>IF(B895=B778,"OK","BŁĄD")</f>
        <v>OK</v>
      </c>
      <c r="C896" s="199" t="str">
        <f>IF(C895=C778,"OK","BŁĄD")</f>
        <v>OK</v>
      </c>
    </row>
    <row r="897" spans="2:3" s="39" customFormat="1" ht="12">
      <c r="B897" s="199"/>
      <c r="C897" s="199"/>
    </row>
    <row r="898" spans="1:2" s="39" customFormat="1" ht="17.25" thickBot="1">
      <c r="A898" s="92" t="s">
        <v>776</v>
      </c>
      <c r="B898" s="104"/>
    </row>
    <row r="899" spans="1:3" s="39" customFormat="1" ht="15" customHeight="1">
      <c r="A899" s="62" t="s">
        <v>66</v>
      </c>
      <c r="B899" s="60" t="e">
        <f>B4</f>
        <v>#REF!</v>
      </c>
      <c r="C899" s="60" t="e">
        <f>C4</f>
        <v>#REF!</v>
      </c>
    </row>
    <row r="900" spans="1:3" s="39" customFormat="1" ht="12" hidden="1">
      <c r="A900" s="55" t="s">
        <v>409</v>
      </c>
      <c r="B900" s="151"/>
      <c r="C900" s="151"/>
    </row>
    <row r="901" spans="1:3" s="39" customFormat="1" ht="12" hidden="1">
      <c r="A901" s="55" t="s">
        <v>840</v>
      </c>
      <c r="B901" s="151"/>
      <c r="C901" s="151"/>
    </row>
    <row r="902" spans="1:3" s="39" customFormat="1" ht="12" hidden="1">
      <c r="A902" s="55" t="s">
        <v>736</v>
      </c>
      <c r="B902" s="192"/>
      <c r="C902" s="192"/>
    </row>
    <row r="903" spans="1:3" s="39" customFormat="1" ht="12.75" thickBot="1">
      <c r="A903" s="125" t="s">
        <v>67</v>
      </c>
      <c r="B903" s="147">
        <f>SUM(B900:B902)</f>
        <v>0</v>
      </c>
      <c r="C903" s="147">
        <f>SUM(C900:C902)</f>
        <v>0</v>
      </c>
    </row>
    <row r="904" spans="2:3" s="39" customFormat="1" ht="12" hidden="1">
      <c r="B904" s="199" t="str">
        <f>IF(B903=B729+B738+B747+B756+B765+B775,"OK","BŁĄD")</f>
        <v>OK</v>
      </c>
      <c r="C904" s="199" t="str">
        <f>IF(C903=C729+C738+C747+C756+C765+C775,"OK","BŁĄD")</f>
        <v>OK</v>
      </c>
    </row>
    <row r="905" spans="2:3" s="39" customFormat="1" ht="12">
      <c r="B905" s="199"/>
      <c r="C905" s="199"/>
    </row>
    <row r="906" spans="1:2" s="39" customFormat="1" ht="17.25" thickBot="1">
      <c r="A906" s="92" t="s">
        <v>817</v>
      </c>
      <c r="B906" s="104"/>
    </row>
    <row r="907" spans="1:3" s="39" customFormat="1" ht="15" customHeight="1">
      <c r="A907" s="62" t="s">
        <v>220</v>
      </c>
      <c r="B907" s="60" t="e">
        <f>B4</f>
        <v>#REF!</v>
      </c>
      <c r="C907" s="60" t="e">
        <f>C4</f>
        <v>#REF!</v>
      </c>
    </row>
    <row r="908" spans="1:3" s="39" customFormat="1" ht="12">
      <c r="A908" s="264" t="s">
        <v>610</v>
      </c>
      <c r="B908" s="193">
        <v>0</v>
      </c>
      <c r="C908" s="193">
        <v>0</v>
      </c>
    </row>
    <row r="909" spans="1:3" s="39" customFormat="1" ht="12">
      <c r="A909" s="264" t="s">
        <v>246</v>
      </c>
      <c r="B909" s="128">
        <f>B911+B913+B914</f>
        <v>0</v>
      </c>
      <c r="C909" s="128">
        <f>C911+C913+C914</f>
        <v>0</v>
      </c>
    </row>
    <row r="910" spans="1:3" s="39" customFormat="1" ht="12" hidden="1">
      <c r="A910" s="249" t="s">
        <v>910</v>
      </c>
      <c r="B910" s="194"/>
      <c r="C910" s="194"/>
    </row>
    <row r="911" spans="1:3" s="39" customFormat="1" ht="12" hidden="1">
      <c r="A911" s="249" t="s">
        <v>47</v>
      </c>
      <c r="B911" s="194"/>
      <c r="C911" s="194"/>
    </row>
    <row r="912" spans="1:3" s="39" customFormat="1" ht="12" hidden="1">
      <c r="A912" s="249" t="s">
        <v>909</v>
      </c>
      <c r="B912" s="194"/>
      <c r="C912" s="194"/>
    </row>
    <row r="913" spans="1:3" s="39" customFormat="1" ht="12" hidden="1">
      <c r="A913" s="249" t="s">
        <v>47</v>
      </c>
      <c r="B913" s="194"/>
      <c r="C913" s="194"/>
    </row>
    <row r="914" spans="1:3" s="39" customFormat="1" ht="12" hidden="1">
      <c r="A914" s="249" t="s">
        <v>716</v>
      </c>
      <c r="B914" s="194"/>
      <c r="C914" s="194"/>
    </row>
    <row r="915" spans="1:3" s="39" customFormat="1" ht="12.75" thickBot="1">
      <c r="A915" s="125" t="s">
        <v>67</v>
      </c>
      <c r="B915" s="184">
        <f>B908+B909</f>
        <v>0</v>
      </c>
      <c r="C915" s="184">
        <f>C908+C909</f>
        <v>0</v>
      </c>
    </row>
    <row r="917" spans="1:89" s="89" customFormat="1" ht="17.25" thickBot="1">
      <c r="A917" s="42" t="s">
        <v>818</v>
      </c>
      <c r="B917" s="44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</row>
    <row r="918" spans="1:89" s="89" customFormat="1" ht="15" customHeight="1">
      <c r="A918" s="285" t="s">
        <v>619</v>
      </c>
      <c r="B918" s="60" t="e">
        <f>B4</f>
        <v>#REF!</v>
      </c>
      <c r="C918" s="60" t="e">
        <f>C4</f>
        <v>#REF!</v>
      </c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</row>
    <row r="919" spans="1:89" s="89" customFormat="1" ht="12.75">
      <c r="A919" s="115" t="s">
        <v>269</v>
      </c>
      <c r="B919" s="170">
        <f>SUM(B920:B935)</f>
        <v>0</v>
      </c>
      <c r="C919" s="170">
        <f>SUM(C920:C935)</f>
        <v>3716</v>
      </c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</row>
    <row r="920" spans="1:3" s="39" customFormat="1" ht="12">
      <c r="A920" s="206" t="s">
        <v>81</v>
      </c>
      <c r="B920" s="65"/>
      <c r="C920" s="65">
        <f>1101+124</f>
        <v>1225</v>
      </c>
    </row>
    <row r="921" spans="1:3" s="39" customFormat="1" ht="12" hidden="1">
      <c r="A921" s="206" t="s">
        <v>82</v>
      </c>
      <c r="B921" s="65"/>
      <c r="C921" s="65"/>
    </row>
    <row r="922" spans="1:3" s="39" customFormat="1" ht="12">
      <c r="A922" s="206" t="s">
        <v>843</v>
      </c>
      <c r="B922" s="65"/>
      <c r="C922" s="65">
        <f>1354</f>
        <v>1354</v>
      </c>
    </row>
    <row r="923" spans="1:3" s="39" customFormat="1" ht="12">
      <c r="A923" s="206" t="s">
        <v>844</v>
      </c>
      <c r="B923" s="65"/>
      <c r="C923" s="65">
        <v>4</v>
      </c>
    </row>
    <row r="924" spans="1:3" s="39" customFormat="1" ht="12" hidden="1">
      <c r="A924" s="206" t="s">
        <v>845</v>
      </c>
      <c r="B924" s="65"/>
      <c r="C924" s="65"/>
    </row>
    <row r="925" spans="1:3" s="39" customFormat="1" ht="12">
      <c r="A925" s="206" t="s">
        <v>939</v>
      </c>
      <c r="B925" s="65"/>
      <c r="C925" s="65">
        <v>41</v>
      </c>
    </row>
    <row r="926" spans="1:3" s="39" customFormat="1" ht="12" hidden="1">
      <c r="A926" s="206" t="s">
        <v>846</v>
      </c>
      <c r="B926" s="65"/>
      <c r="C926" s="65"/>
    </row>
    <row r="927" spans="1:3" s="39" customFormat="1" ht="12" hidden="1">
      <c r="A927" s="206" t="s">
        <v>847</v>
      </c>
      <c r="B927" s="65"/>
      <c r="C927" s="65"/>
    </row>
    <row r="928" spans="1:3" s="39" customFormat="1" ht="12" hidden="1">
      <c r="A928" s="206" t="s">
        <v>782</v>
      </c>
      <c r="B928" s="65"/>
      <c r="C928" s="65"/>
    </row>
    <row r="929" spans="1:3" s="39" customFormat="1" ht="12">
      <c r="A929" s="206" t="s">
        <v>783</v>
      </c>
      <c r="B929" s="65"/>
      <c r="C929" s="65">
        <v>7</v>
      </c>
    </row>
    <row r="930" spans="1:3" s="39" customFormat="1" ht="12" hidden="1">
      <c r="A930" s="206" t="s">
        <v>784</v>
      </c>
      <c r="B930" s="65"/>
      <c r="C930" s="65"/>
    </row>
    <row r="931" spans="1:3" s="39" customFormat="1" ht="12" hidden="1">
      <c r="A931" s="206" t="s">
        <v>785</v>
      </c>
      <c r="B931" s="65"/>
      <c r="C931" s="65"/>
    </row>
    <row r="932" spans="1:3" s="39" customFormat="1" ht="12" hidden="1">
      <c r="A932" s="206" t="s">
        <v>177</v>
      </c>
      <c r="B932" s="65"/>
      <c r="C932" s="65"/>
    </row>
    <row r="933" spans="1:3" s="39" customFormat="1" ht="12" hidden="1">
      <c r="A933" s="206" t="s">
        <v>842</v>
      </c>
      <c r="B933" s="65"/>
      <c r="C933" s="65"/>
    </row>
    <row r="934" spans="1:3" s="39" customFormat="1" ht="12">
      <c r="A934" s="206" t="s">
        <v>841</v>
      </c>
      <c r="B934" s="65"/>
      <c r="C934" s="65">
        <v>898</v>
      </c>
    </row>
    <row r="935" spans="1:3" s="39" customFormat="1" ht="12">
      <c r="A935" s="206" t="s">
        <v>915</v>
      </c>
      <c r="B935" s="65"/>
      <c r="C935" s="65">
        <f>-15+136+32+33+1</f>
        <v>187</v>
      </c>
    </row>
    <row r="936" spans="1:3" s="39" customFormat="1" ht="12">
      <c r="A936" s="115" t="s">
        <v>861</v>
      </c>
      <c r="B936" s="170">
        <f>SUM(B937:B939)</f>
        <v>0</v>
      </c>
      <c r="C936" s="170">
        <f>SUM(C937:C939)</f>
        <v>533</v>
      </c>
    </row>
    <row r="937" spans="1:3" s="39" customFormat="1" ht="12">
      <c r="A937" s="206" t="s">
        <v>786</v>
      </c>
      <c r="B937" s="65"/>
      <c r="C937" s="65">
        <v>533</v>
      </c>
    </row>
    <row r="938" spans="1:3" s="39" customFormat="1" ht="12">
      <c r="A938" s="206" t="s">
        <v>787</v>
      </c>
      <c r="B938" s="65"/>
      <c r="C938" s="65"/>
    </row>
    <row r="939" spans="1:3" s="39" customFormat="1" ht="12" hidden="1">
      <c r="A939" s="206" t="s">
        <v>915</v>
      </c>
      <c r="B939" s="65"/>
      <c r="C939" s="65"/>
    </row>
    <row r="940" spans="1:3" s="39" customFormat="1" ht="12.75" thickBot="1">
      <c r="A940" s="114" t="s">
        <v>620</v>
      </c>
      <c r="B940" s="166">
        <f>B919+B936</f>
        <v>0</v>
      </c>
      <c r="C940" s="166">
        <f>C919+C936</f>
        <v>4249</v>
      </c>
    </row>
    <row r="941" s="39" customFormat="1" ht="12"/>
    <row r="943" ht="16.5">
      <c r="A943" s="42" t="s">
        <v>764</v>
      </c>
    </row>
    <row r="944" spans="1:3" ht="12.75">
      <c r="A944" s="622"/>
      <c r="B944" s="623"/>
      <c r="C944" s="623"/>
    </row>
    <row r="945" spans="2:3" ht="12.75">
      <c r="B945" s="540"/>
      <c r="C945" s="541"/>
    </row>
    <row r="946" spans="1:3" ht="20.25" customHeight="1">
      <c r="A946" s="539"/>
      <c r="B946" s="539"/>
      <c r="C946" s="539"/>
    </row>
    <row r="947" spans="1:3" ht="12.75">
      <c r="A947" s="539"/>
      <c r="B947" s="539"/>
      <c r="C947" s="539"/>
    </row>
    <row r="948" spans="1:3" ht="12.75">
      <c r="A948" s="539"/>
      <c r="B948" s="539"/>
      <c r="C948" s="539"/>
    </row>
    <row r="949" spans="1:3" ht="12.75">
      <c r="A949" s="539"/>
      <c r="B949" s="539"/>
      <c r="C949" s="539"/>
    </row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</sheetData>
  <sheetProtection/>
  <mergeCells count="3">
    <mergeCell ref="A553:C553"/>
    <mergeCell ref="A675:C675"/>
    <mergeCell ref="A944:C944"/>
  </mergeCells>
  <printOptions/>
  <pageMargins left="0.75" right="0.44" top="0.79" bottom="0.74" header="0.5" footer="0.5"/>
  <pageSetup blackAndWhite="1" horizontalDpi="600" verticalDpi="600" orientation="portrait" paperSize="9" r:id="rId2"/>
  <headerFooter alignWithMargins="0">
    <oddHeader>&amp;LBUDIMEX S.A.&amp;CSA-R 2002&amp;R w tys. zł</oddHeader>
    <oddFooter>&amp;C&amp;7Komisja&amp;10 &amp;7Papierów Wartościowych i Giełd&amp;R&amp;7&amp;P+24</oddFooter>
  </headerFooter>
  <rowBreaks count="21" manualBreakCount="21">
    <brk id="13" max="255" man="1"/>
    <brk id="15" max="255" man="1"/>
    <brk id="40" max="2" man="1"/>
    <brk id="42" max="2" man="1"/>
    <brk id="135" max="2" man="1"/>
    <brk id="247" max="2" man="1"/>
    <brk id="249" max="2" man="1"/>
    <brk id="315" max="2" man="1"/>
    <brk id="317" max="2" man="1"/>
    <brk id="320" max="2" man="1"/>
    <brk id="324" max="2" man="1"/>
    <brk id="424" max="2" man="1"/>
    <brk id="486" max="2" man="1"/>
    <brk id="537" max="2" man="1"/>
    <brk id="555" max="2" man="1"/>
    <brk id="628" max="2" man="1"/>
    <brk id="686" max="2" man="1"/>
    <brk id="718" max="2" man="1"/>
    <brk id="871" max="2" man="1"/>
    <brk id="941" max="255" man="1"/>
    <brk id="961" max="2" man="1"/>
  </rowBreaks>
  <colBreaks count="1" manualBreakCount="1">
    <brk id="8" max="9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619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1.00390625" style="461" customWidth="1"/>
    <col min="2" max="2" width="14.75390625" style="462" customWidth="1"/>
    <col min="3" max="3" width="13.75390625" style="462" customWidth="1"/>
    <col min="4" max="4" width="11.75390625" style="463" customWidth="1"/>
    <col min="5" max="5" width="9.375" style="463" customWidth="1"/>
    <col min="6" max="6" width="15.25390625" style="463" customWidth="1"/>
    <col min="7" max="7" width="9.375" style="463" customWidth="1"/>
    <col min="8" max="9" width="12.00390625" style="463" customWidth="1"/>
    <col min="10" max="10" width="21.25390625" style="463" customWidth="1"/>
    <col min="11" max="11" width="11.375" style="463" customWidth="1"/>
    <col min="12" max="12" width="7.875" style="463" customWidth="1"/>
    <col min="13" max="13" width="10.00390625" style="463" customWidth="1"/>
    <col min="14" max="14" width="11.375" style="463" customWidth="1"/>
    <col min="15" max="15" width="7.875" style="463" customWidth="1"/>
    <col min="16" max="16" width="12.125" style="463" customWidth="1"/>
    <col min="17" max="17" width="9.375" style="463" customWidth="1"/>
    <col min="18" max="18" width="7.00390625" style="463" customWidth="1"/>
    <col min="19" max="19" width="15.125" style="463" customWidth="1"/>
    <col min="20" max="20" width="9.875" style="463" customWidth="1"/>
    <col min="21" max="21" width="7.875" style="463" customWidth="1"/>
    <col min="22" max="22" width="13.125" style="463" customWidth="1"/>
    <col min="23" max="23" width="10.00390625" style="463" customWidth="1"/>
    <col min="24" max="25" width="10.375" style="463" customWidth="1"/>
    <col min="26" max="26" width="11.375" style="463" customWidth="1"/>
    <col min="27" max="27" width="8.375" style="463" customWidth="1"/>
    <col min="28" max="28" width="13.25390625" style="463" customWidth="1"/>
    <col min="29" max="29" width="7.875" style="463" customWidth="1"/>
    <col min="30" max="30" width="5.375" style="463" customWidth="1"/>
    <col min="31" max="31" width="15.875" style="463" customWidth="1"/>
    <col min="32" max="32" width="12.125" style="463" customWidth="1"/>
    <col min="33" max="33" width="21.00390625" style="463" customWidth="1"/>
    <col min="34" max="34" width="22.75390625" style="463" customWidth="1"/>
    <col min="35" max="88" width="7.875" style="463" customWidth="1"/>
    <col min="89" max="16384" width="7.875" style="369" customWidth="1"/>
  </cols>
  <sheetData>
    <row r="1" ht="12.75">
      <c r="A1" s="580" t="s">
        <v>553</v>
      </c>
    </row>
    <row r="3" ht="12.75">
      <c r="A3" s="580" t="s">
        <v>554</v>
      </c>
    </row>
    <row r="7" ht="12.75">
      <c r="A7" s="580" t="s">
        <v>555</v>
      </c>
    </row>
    <row r="9" spans="1:2" ht="17.25" thickBot="1">
      <c r="A9" s="353" t="s">
        <v>819</v>
      </c>
      <c r="B9" s="464"/>
    </row>
    <row r="10" spans="1:3" ht="15" customHeight="1">
      <c r="A10" s="129" t="s">
        <v>558</v>
      </c>
      <c r="B10" s="300" t="e">
        <f>#REF!</f>
        <v>#REF!</v>
      </c>
      <c r="C10" s="300" t="e">
        <f>#REF!</f>
        <v>#REF!</v>
      </c>
    </row>
    <row r="11" spans="1:3" ht="12.75" customHeight="1">
      <c r="A11" s="204" t="s">
        <v>559</v>
      </c>
      <c r="B11" s="465"/>
      <c r="C11" s="465">
        <v>225755</v>
      </c>
    </row>
    <row r="12" spans="1:3" ht="12.75" customHeight="1">
      <c r="A12" s="204" t="s">
        <v>560</v>
      </c>
      <c r="B12" s="465"/>
      <c r="C12" s="465">
        <v>42550</v>
      </c>
    </row>
    <row r="13" spans="1:3" ht="24.75" customHeight="1">
      <c r="A13" s="204" t="s">
        <v>284</v>
      </c>
      <c r="B13" s="465"/>
      <c r="C13" s="465">
        <f>144654+50</f>
        <v>144704</v>
      </c>
    </row>
    <row r="14" spans="1:3" ht="12.75" customHeight="1">
      <c r="A14" s="204" t="s">
        <v>561</v>
      </c>
      <c r="B14" s="465"/>
      <c r="C14" s="465">
        <v>0</v>
      </c>
    </row>
    <row r="15" spans="1:3" ht="12.75" customHeight="1">
      <c r="A15" s="272" t="s">
        <v>26</v>
      </c>
      <c r="B15" s="466"/>
      <c r="C15" s="466">
        <f>19897-50</f>
        <v>19847</v>
      </c>
    </row>
    <row r="16" spans="1:3" ht="12.75" customHeight="1" hidden="1">
      <c r="A16" s="272" t="s">
        <v>25</v>
      </c>
      <c r="B16" s="466">
        <v>0</v>
      </c>
      <c r="C16" s="466">
        <v>0</v>
      </c>
    </row>
    <row r="17" spans="1:3" ht="13.5" thickBot="1">
      <c r="A17" s="130" t="s">
        <v>562</v>
      </c>
      <c r="B17" s="467">
        <f>SUM(B11:B16)</f>
        <v>0</v>
      </c>
      <c r="C17" s="467">
        <f>SUM(C11:C16)</f>
        <v>432856</v>
      </c>
    </row>
    <row r="18" spans="1:3" ht="12.75" hidden="1">
      <c r="A18" s="366"/>
      <c r="B18" s="468" t="e">
        <f>IF(B17=#REF!,"OK.","BŁĄD")</f>
        <v>#REF!</v>
      </c>
      <c r="C18" s="468" t="e">
        <f>IF(C17=#REF!,"OK.","BŁĄD")</f>
        <v>#REF!</v>
      </c>
    </row>
    <row r="19" spans="1:3" ht="12.75">
      <c r="A19" s="366"/>
      <c r="B19" s="468"/>
      <c r="C19" s="468"/>
    </row>
    <row r="20" spans="1:3" ht="17.25" thickBot="1">
      <c r="A20" s="353" t="s">
        <v>390</v>
      </c>
      <c r="B20" s="469"/>
      <c r="C20" s="469"/>
    </row>
    <row r="21" spans="1:3" ht="15" customHeight="1">
      <c r="A21" s="129" t="s">
        <v>27</v>
      </c>
      <c r="B21" s="302" t="e">
        <f>B10</f>
        <v>#REF!</v>
      </c>
      <c r="C21" s="302" t="e">
        <f>C10</f>
        <v>#REF!</v>
      </c>
    </row>
    <row r="22" spans="1:3" ht="12.75" customHeight="1">
      <c r="A22" s="204" t="s">
        <v>28</v>
      </c>
      <c r="B22" s="465"/>
      <c r="C22" s="465">
        <v>878</v>
      </c>
    </row>
    <row r="23" spans="1:3" ht="12.75" customHeight="1">
      <c r="A23" s="204" t="s">
        <v>29</v>
      </c>
      <c r="B23" s="465">
        <v>0</v>
      </c>
      <c r="C23" s="465">
        <v>0</v>
      </c>
    </row>
    <row r="24" spans="1:3" ht="12.75" customHeight="1" hidden="1">
      <c r="A24" s="286" t="s">
        <v>30</v>
      </c>
      <c r="B24" s="396"/>
      <c r="C24" s="396"/>
    </row>
    <row r="25" spans="1:3" ht="12.75" customHeight="1">
      <c r="A25" s="273" t="s">
        <v>31</v>
      </c>
      <c r="B25" s="465">
        <v>0</v>
      </c>
      <c r="C25" s="465">
        <v>0</v>
      </c>
    </row>
    <row r="26" spans="1:3" ht="12.75" customHeight="1">
      <c r="A26" s="204" t="s">
        <v>345</v>
      </c>
      <c r="B26" s="465"/>
      <c r="C26" s="465">
        <v>4307</v>
      </c>
    </row>
    <row r="27" spans="1:3" ht="12.75" customHeight="1">
      <c r="A27" s="272" t="s">
        <v>26</v>
      </c>
      <c r="B27" s="466"/>
      <c r="C27" s="466">
        <v>574</v>
      </c>
    </row>
    <row r="28" spans="1:3" ht="12.75" customHeight="1">
      <c r="A28" s="272" t="s">
        <v>361</v>
      </c>
      <c r="B28" s="466"/>
      <c r="C28" s="466">
        <v>574</v>
      </c>
    </row>
    <row r="29" spans="1:3" ht="13.5" thickBot="1">
      <c r="A29" s="130" t="s">
        <v>32</v>
      </c>
      <c r="B29" s="467">
        <f>B22+B23+B25+B26+B27</f>
        <v>0</v>
      </c>
      <c r="C29" s="467">
        <f>C22+C23+C25+C26+C27</f>
        <v>5759</v>
      </c>
    </row>
    <row r="30" spans="1:3" ht="12.75" hidden="1">
      <c r="A30" s="366"/>
      <c r="B30" s="468" t="e">
        <f>IF(B29=#REF!,"OK.","BŁĄD")</f>
        <v>#REF!</v>
      </c>
      <c r="C30" s="468" t="e">
        <f>IF(C29=#REF!,"OK.","BŁĄD")</f>
        <v>#REF!</v>
      </c>
    </row>
    <row r="31" spans="1:3" ht="12.75">
      <c r="A31" s="366"/>
      <c r="B31" s="468"/>
      <c r="C31" s="468"/>
    </row>
    <row r="32" spans="1:3" ht="17.25" thickBot="1">
      <c r="A32" s="353" t="s">
        <v>237</v>
      </c>
      <c r="B32" s="469"/>
      <c r="C32" s="469"/>
    </row>
    <row r="33" spans="1:3" ht="24" customHeight="1">
      <c r="A33" s="131" t="s">
        <v>154</v>
      </c>
      <c r="B33" s="302" t="e">
        <f>B10</f>
        <v>#REF!</v>
      </c>
      <c r="C33" s="302" t="e">
        <f>C10</f>
        <v>#REF!</v>
      </c>
    </row>
    <row r="34" spans="1:3" ht="12.75" hidden="1">
      <c r="A34" s="273" t="s">
        <v>583</v>
      </c>
      <c r="B34" s="460"/>
      <c r="C34" s="460"/>
    </row>
    <row r="35" spans="1:3" ht="12.75" hidden="1">
      <c r="A35" s="273" t="s">
        <v>155</v>
      </c>
      <c r="B35" s="460"/>
      <c r="C35" s="460"/>
    </row>
    <row r="36" spans="1:3" ht="12.75" hidden="1">
      <c r="A36" s="273" t="s">
        <v>155</v>
      </c>
      <c r="B36" s="465"/>
      <c r="C36" s="465"/>
    </row>
    <row r="37" spans="1:3" ht="13.5" thickBot="1">
      <c r="A37" s="130" t="s">
        <v>23</v>
      </c>
      <c r="B37" s="467">
        <f>SUM(B34:B36)</f>
        <v>0</v>
      </c>
      <c r="C37" s="467">
        <f>SUM(C34:C36)</f>
        <v>0</v>
      </c>
    </row>
    <row r="38" spans="1:3" ht="12.75" hidden="1">
      <c r="A38" s="366"/>
      <c r="B38" s="468" t="e">
        <f>IF(B37=#REF!,"OK.","BŁĄD")</f>
        <v>#REF!</v>
      </c>
      <c r="C38" s="468" t="e">
        <f>IF(C37=#REF!,"OK.","BŁĄD")</f>
        <v>#REF!</v>
      </c>
    </row>
    <row r="39" spans="1:3" ht="12.75">
      <c r="A39" s="366"/>
      <c r="B39" s="468"/>
      <c r="C39" s="468"/>
    </row>
    <row r="40" spans="1:3" ht="17.25" thickBot="1">
      <c r="A40" s="353" t="s">
        <v>238</v>
      </c>
      <c r="B40" s="313"/>
      <c r="C40" s="313"/>
    </row>
    <row r="41" spans="1:3" ht="24" customHeight="1">
      <c r="A41" s="131" t="s">
        <v>391</v>
      </c>
      <c r="B41" s="302" t="e">
        <f>B10</f>
        <v>#REF!</v>
      </c>
      <c r="C41" s="302" t="e">
        <f>C10</f>
        <v>#REF!</v>
      </c>
    </row>
    <row r="42" spans="1:3" ht="12.75" hidden="1">
      <c r="A42" s="273" t="s">
        <v>583</v>
      </c>
      <c r="B42" s="470"/>
      <c r="C42" s="470"/>
    </row>
    <row r="43" spans="1:3" ht="12.75" hidden="1">
      <c r="A43" s="273" t="s">
        <v>583</v>
      </c>
      <c r="B43" s="470"/>
      <c r="C43" s="470"/>
    </row>
    <row r="44" spans="1:3" ht="12.75" hidden="1">
      <c r="A44" s="273" t="s">
        <v>583</v>
      </c>
      <c r="B44" s="470"/>
      <c r="C44" s="470"/>
    </row>
    <row r="45" spans="1:3" ht="13.5" thickBot="1">
      <c r="A45" s="130" t="s">
        <v>519</v>
      </c>
      <c r="B45" s="467">
        <f>SUM(B42:B44)</f>
        <v>0</v>
      </c>
      <c r="C45" s="467">
        <f>SUM(C42:C44)</f>
        <v>0</v>
      </c>
    </row>
    <row r="46" spans="1:3" ht="12.75">
      <c r="A46" s="298"/>
      <c r="B46" s="471"/>
      <c r="C46" s="471"/>
    </row>
    <row r="47" spans="1:78" s="475" customFormat="1" ht="18" customHeight="1" thickBot="1">
      <c r="A47" s="472" t="s">
        <v>820</v>
      </c>
      <c r="B47" s="313"/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</row>
    <row r="48" spans="1:78" s="475" customFormat="1" ht="24" customHeight="1">
      <c r="A48" s="280" t="s">
        <v>520</v>
      </c>
      <c r="B48" s="302" t="e">
        <f>B10</f>
        <v>#REF!</v>
      </c>
      <c r="C48" s="302" t="e">
        <f>C10</f>
        <v>#REF!</v>
      </c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</row>
    <row r="49" spans="1:78" s="475" customFormat="1" ht="12.75" customHeight="1">
      <c r="A49" s="476" t="s">
        <v>285</v>
      </c>
      <c r="B49" s="563">
        <f>B50+B52+B53</f>
        <v>18506</v>
      </c>
      <c r="C49" s="563">
        <f>C50+C52+C53</f>
        <v>24662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</row>
    <row r="50" spans="1:78" s="475" customFormat="1" ht="12.75" customHeight="1">
      <c r="A50" s="240" t="s">
        <v>521</v>
      </c>
      <c r="B50" s="564">
        <f>C75</f>
        <v>18280</v>
      </c>
      <c r="C50" s="564">
        <v>24436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</row>
    <row r="51" spans="1:78" s="475" customFormat="1" ht="12.75" customHeight="1">
      <c r="A51" s="241" t="s">
        <v>686</v>
      </c>
      <c r="B51" s="565">
        <f>C76</f>
        <v>18280</v>
      </c>
      <c r="C51" s="565">
        <v>24436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</row>
    <row r="52" spans="1:78" s="475" customFormat="1" ht="12.75" customHeight="1">
      <c r="A52" s="240" t="s">
        <v>332</v>
      </c>
      <c r="B52" s="564">
        <f>C77</f>
        <v>226</v>
      </c>
      <c r="C52" s="564">
        <v>226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</row>
    <row r="53" spans="1:78" s="475" customFormat="1" ht="12.75" customHeight="1" hidden="1">
      <c r="A53" s="240" t="s">
        <v>228</v>
      </c>
      <c r="B53" s="564"/>
      <c r="C53" s="56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</row>
    <row r="54" spans="1:78" s="475" customFormat="1" ht="12.75" customHeight="1">
      <c r="A54" s="476" t="s">
        <v>428</v>
      </c>
      <c r="B54" s="566">
        <f>B55+B58+B61</f>
        <v>0</v>
      </c>
      <c r="C54" s="566">
        <f>C55+C58+C61</f>
        <v>4262</v>
      </c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</row>
    <row r="55" spans="1:78" s="475" customFormat="1" ht="27" customHeight="1">
      <c r="A55" s="240" t="s">
        <v>99</v>
      </c>
      <c r="B55" s="310">
        <f>SUM(B56:B57)</f>
        <v>0</v>
      </c>
      <c r="C55" s="310">
        <f>SUM(C56:C57)</f>
        <v>4262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</row>
    <row r="56" spans="1:78" s="475" customFormat="1" ht="15" customHeight="1">
      <c r="A56" s="240" t="s">
        <v>362</v>
      </c>
      <c r="B56" s="310">
        <v>0</v>
      </c>
      <c r="C56" s="310">
        <v>0</v>
      </c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</row>
    <row r="57" spans="1:78" s="475" customFormat="1" ht="12.75" customHeight="1">
      <c r="A57" s="297" t="s">
        <v>363</v>
      </c>
      <c r="B57" s="310"/>
      <c r="C57" s="310">
        <v>4262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</row>
    <row r="58" spans="1:78" s="475" customFormat="1" ht="25.5" customHeight="1">
      <c r="A58" s="240" t="s">
        <v>871</v>
      </c>
      <c r="B58" s="310">
        <f>SUM(B59:B60)</f>
        <v>0</v>
      </c>
      <c r="C58" s="310">
        <f>SUM(C59:C60)</f>
        <v>0</v>
      </c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</row>
    <row r="59" spans="1:78" s="475" customFormat="1" ht="12.75" customHeight="1" hidden="1">
      <c r="A59" s="240" t="s">
        <v>378</v>
      </c>
      <c r="B59" s="310"/>
      <c r="C59" s="310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</row>
    <row r="60" spans="1:78" s="475" customFormat="1" ht="12.75" customHeight="1" hidden="1">
      <c r="A60" s="240" t="s">
        <v>378</v>
      </c>
      <c r="B60" s="310"/>
      <c r="C60" s="310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</row>
    <row r="61" spans="1:78" s="475" customFormat="1" ht="26.25" customHeight="1">
      <c r="A61" s="240" t="s">
        <v>872</v>
      </c>
      <c r="B61" s="310">
        <f>SUM(B62:B63)</f>
        <v>0</v>
      </c>
      <c r="C61" s="310">
        <f>SUM(C62:C63)</f>
        <v>0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</row>
    <row r="62" spans="1:78" s="475" customFormat="1" ht="12.75" customHeight="1" hidden="1">
      <c r="A62" s="240" t="s">
        <v>378</v>
      </c>
      <c r="B62" s="310"/>
      <c r="C62" s="310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</row>
    <row r="63" spans="1:78" s="475" customFormat="1" ht="12.75" customHeight="1" hidden="1">
      <c r="A63" s="240" t="s">
        <v>378</v>
      </c>
      <c r="B63" s="310"/>
      <c r="C63" s="310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</row>
    <row r="64" spans="1:78" s="475" customFormat="1" ht="12.75" customHeight="1">
      <c r="A64" s="476" t="s">
        <v>178</v>
      </c>
      <c r="B64" s="566">
        <f>B65+B68+B71</f>
        <v>0</v>
      </c>
      <c r="C64" s="566">
        <f>C65+C68+C71</f>
        <v>10418</v>
      </c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</row>
    <row r="65" spans="1:78" s="475" customFormat="1" ht="27" customHeight="1">
      <c r="A65" s="240" t="s">
        <v>873</v>
      </c>
      <c r="B65" s="310">
        <f>SUM(B66:B67)</f>
        <v>0</v>
      </c>
      <c r="C65" s="310">
        <f>SUM(C66:C67)</f>
        <v>10418</v>
      </c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</row>
    <row r="66" spans="1:78" s="475" customFormat="1" ht="12.75" customHeight="1">
      <c r="A66" s="240" t="s">
        <v>735</v>
      </c>
      <c r="B66" s="310"/>
      <c r="C66" s="310">
        <f>1608+7000+1810</f>
        <v>10418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</row>
    <row r="67" spans="1:78" s="475" customFormat="1" ht="12.75" customHeight="1">
      <c r="A67" s="240" t="s">
        <v>658</v>
      </c>
      <c r="B67" s="310">
        <v>0</v>
      </c>
      <c r="C67" s="310">
        <v>0</v>
      </c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</row>
    <row r="68" spans="1:78" s="475" customFormat="1" ht="25.5" customHeight="1">
      <c r="A68" s="240" t="s">
        <v>871</v>
      </c>
      <c r="B68" s="310">
        <f>SUM(B69:B70)</f>
        <v>0</v>
      </c>
      <c r="C68" s="310">
        <f>SUM(C69:C70)</f>
        <v>0</v>
      </c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</row>
    <row r="69" spans="1:78" s="475" customFormat="1" ht="12.75" customHeight="1" hidden="1">
      <c r="A69" s="240" t="s">
        <v>378</v>
      </c>
      <c r="B69" s="310"/>
      <c r="C69" s="310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</row>
    <row r="70" spans="1:78" s="475" customFormat="1" ht="12.75" customHeight="1" hidden="1">
      <c r="A70" s="240" t="s">
        <v>378</v>
      </c>
      <c r="B70" s="310"/>
      <c r="C70" s="310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</row>
    <row r="71" spans="1:78" s="475" customFormat="1" ht="25.5" customHeight="1">
      <c r="A71" s="240" t="s">
        <v>872</v>
      </c>
      <c r="B71" s="310">
        <f>SUM(B72:B73)</f>
        <v>0</v>
      </c>
      <c r="C71" s="310">
        <f>SUM(C72:C73)</f>
        <v>0</v>
      </c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</row>
    <row r="72" spans="1:78" s="475" customFormat="1" ht="12.75" customHeight="1" hidden="1">
      <c r="A72" s="240" t="s">
        <v>378</v>
      </c>
      <c r="B72" s="310"/>
      <c r="C72" s="310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</row>
    <row r="73" spans="1:78" s="475" customFormat="1" ht="12.75" customHeight="1" hidden="1">
      <c r="A73" s="240" t="s">
        <v>378</v>
      </c>
      <c r="B73" s="310"/>
      <c r="C73" s="310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</row>
    <row r="74" spans="1:78" s="475" customFormat="1" ht="12.75" customHeight="1">
      <c r="A74" s="476" t="s">
        <v>100</v>
      </c>
      <c r="B74" s="566">
        <f>B49+B54-B64</f>
        <v>18506</v>
      </c>
      <c r="C74" s="566">
        <f>C49+C54-C64</f>
        <v>18506</v>
      </c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</row>
    <row r="75" spans="1:78" s="475" customFormat="1" ht="12.75" customHeight="1">
      <c r="A75" s="240" t="s">
        <v>521</v>
      </c>
      <c r="B75" s="310">
        <f>B50+B55-B65</f>
        <v>18280</v>
      </c>
      <c r="C75" s="310">
        <f>C50+C55-C65</f>
        <v>18280</v>
      </c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</row>
    <row r="76" spans="1:78" s="475" customFormat="1" ht="12.75" customHeight="1">
      <c r="A76" s="241" t="s">
        <v>686</v>
      </c>
      <c r="B76" s="565">
        <f>B51+B56-B66-B67+B57</f>
        <v>18280</v>
      </c>
      <c r="C76" s="565">
        <f>C51+C56-C66-C67+C57</f>
        <v>18280</v>
      </c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</row>
    <row r="77" spans="1:78" s="475" customFormat="1" ht="12.75" customHeight="1">
      <c r="A77" s="240" t="s">
        <v>332</v>
      </c>
      <c r="B77" s="310">
        <f>B52+B58-B68</f>
        <v>226</v>
      </c>
      <c r="C77" s="310">
        <f>C52+C58-C68</f>
        <v>226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</row>
    <row r="78" spans="1:78" s="475" customFormat="1" ht="12.75" customHeight="1">
      <c r="A78" s="240" t="s">
        <v>541</v>
      </c>
      <c r="B78" s="310">
        <f>B53+B61-B71</f>
        <v>0</v>
      </c>
      <c r="C78" s="310">
        <f>C53+C61-C71</f>
        <v>0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</row>
    <row r="79" spans="1:78" s="475" customFormat="1" ht="24" customHeight="1" thickBot="1">
      <c r="A79" s="478" t="s">
        <v>120</v>
      </c>
      <c r="B79" s="567">
        <f>B75+B77+B78</f>
        <v>18506</v>
      </c>
      <c r="C79" s="567">
        <f>C75+C77+C78</f>
        <v>18506</v>
      </c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</row>
    <row r="80" spans="2:3" s="296" customFormat="1" ht="12" hidden="1">
      <c r="B80" s="480" t="str">
        <f>IF(B79=B74,"OK","BŁĄD")</f>
        <v>OK</v>
      </c>
      <c r="C80" s="480" t="str">
        <f>IF(C79=C74,"OK","BŁĄD")</f>
        <v>OK</v>
      </c>
    </row>
    <row r="81" spans="1:3" s="296" customFormat="1" ht="12.75">
      <c r="A81" s="581"/>
      <c r="B81" s="480"/>
      <c r="C81" s="480"/>
    </row>
    <row r="82" spans="1:3" s="296" customFormat="1" ht="12.75" customHeight="1">
      <c r="A82" s="568" t="s">
        <v>556</v>
      </c>
      <c r="B82" s="482"/>
      <c r="C82" s="482"/>
    </row>
    <row r="83" spans="1:3" s="296" customFormat="1" ht="12.75" customHeight="1">
      <c r="A83" s="481"/>
      <c r="B83" s="482"/>
      <c r="C83" s="482"/>
    </row>
    <row r="84" spans="1:3" s="296" customFormat="1" ht="17.25" thickBot="1">
      <c r="A84" s="483" t="s">
        <v>821</v>
      </c>
      <c r="B84" s="482"/>
      <c r="C84" s="482"/>
    </row>
    <row r="85" spans="1:3" s="296" customFormat="1" ht="24" customHeight="1">
      <c r="A85" s="132" t="s">
        <v>160</v>
      </c>
      <c r="B85" s="302" t="e">
        <f>B10</f>
        <v>#REF!</v>
      </c>
      <c r="C85" s="302" t="e">
        <f>C10</f>
        <v>#REF!</v>
      </c>
    </row>
    <row r="86" spans="1:3" s="296" customFormat="1" ht="12">
      <c r="A86" s="275" t="s">
        <v>495</v>
      </c>
      <c r="B86" s="484"/>
      <c r="C86" s="484"/>
    </row>
    <row r="87" spans="1:3" s="296" customFormat="1" ht="12">
      <c r="A87" s="274" t="s">
        <v>496</v>
      </c>
      <c r="B87" s="484">
        <f>C99</f>
        <v>481</v>
      </c>
      <c r="C87" s="484">
        <v>649</v>
      </c>
    </row>
    <row r="88" spans="1:3" s="296" customFormat="1" ht="12">
      <c r="A88" s="274" t="s">
        <v>799</v>
      </c>
      <c r="B88" s="484">
        <f>SUM(B89:B90)</f>
        <v>0</v>
      </c>
      <c r="C88" s="484">
        <f>SUM(C89:C90)</f>
        <v>0</v>
      </c>
    </row>
    <row r="89" spans="1:3" s="296" customFormat="1" ht="12">
      <c r="A89" s="274" t="s">
        <v>497</v>
      </c>
      <c r="B89" s="484">
        <v>0</v>
      </c>
      <c r="C89" s="484">
        <v>0</v>
      </c>
    </row>
    <row r="90" spans="1:3" s="296" customFormat="1" ht="12" hidden="1">
      <c r="A90" s="276" t="s">
        <v>398</v>
      </c>
      <c r="B90" s="484"/>
      <c r="C90" s="484"/>
    </row>
    <row r="91" spans="1:3" s="296" customFormat="1" ht="12">
      <c r="A91" s="276" t="s">
        <v>938</v>
      </c>
      <c r="B91" s="484">
        <f>SUM(B92:B94)</f>
        <v>0</v>
      </c>
      <c r="C91" s="484">
        <f>SUM(C92:C94)</f>
        <v>0</v>
      </c>
    </row>
    <row r="92" spans="1:3" s="296" customFormat="1" ht="12" hidden="1">
      <c r="A92" s="276" t="s">
        <v>398</v>
      </c>
      <c r="B92" s="484"/>
      <c r="C92" s="484"/>
    </row>
    <row r="93" spans="1:3" s="296" customFormat="1" ht="12" hidden="1">
      <c r="A93" s="276" t="s">
        <v>583</v>
      </c>
      <c r="B93" s="484"/>
      <c r="C93" s="484"/>
    </row>
    <row r="94" spans="1:3" s="296" customFormat="1" ht="12" hidden="1">
      <c r="A94" s="276" t="s">
        <v>353</v>
      </c>
      <c r="B94" s="484"/>
      <c r="C94" s="484"/>
    </row>
    <row r="95" spans="1:3" s="296" customFormat="1" ht="12">
      <c r="A95" s="276" t="s">
        <v>498</v>
      </c>
      <c r="B95" s="484">
        <f>SUM(B96:B98)</f>
        <v>0</v>
      </c>
      <c r="C95" s="484">
        <f>SUM(C96:C98)</f>
        <v>168</v>
      </c>
    </row>
    <row r="96" spans="1:3" s="296" customFormat="1" ht="12" hidden="1">
      <c r="A96" s="276" t="s">
        <v>499</v>
      </c>
      <c r="B96" s="484"/>
      <c r="C96" s="484"/>
    </row>
    <row r="97" spans="1:3" s="296" customFormat="1" ht="12" hidden="1">
      <c r="A97" s="276" t="s">
        <v>398</v>
      </c>
      <c r="B97" s="484"/>
      <c r="C97" s="484"/>
    </row>
    <row r="98" spans="1:3" s="296" customFormat="1" ht="12">
      <c r="A98" s="276" t="s">
        <v>364</v>
      </c>
      <c r="B98" s="484"/>
      <c r="C98" s="484">
        <v>168</v>
      </c>
    </row>
    <row r="99" spans="1:3" s="296" customFormat="1" ht="12">
      <c r="A99" s="277" t="s">
        <v>500</v>
      </c>
      <c r="B99" s="485">
        <f>B87+B88-B91-B95</f>
        <v>481</v>
      </c>
      <c r="C99" s="485">
        <f>C87+C88-C91-C95</f>
        <v>481</v>
      </c>
    </row>
    <row r="100" spans="1:3" s="296" customFormat="1" ht="12">
      <c r="A100" s="278" t="s">
        <v>501</v>
      </c>
      <c r="B100" s="484"/>
      <c r="C100" s="484"/>
    </row>
    <row r="101" spans="1:3" s="296" customFormat="1" ht="12">
      <c r="A101" s="274" t="s">
        <v>496</v>
      </c>
      <c r="B101" s="484">
        <f>C113</f>
        <v>0</v>
      </c>
      <c r="C101" s="484">
        <v>1435</v>
      </c>
    </row>
    <row r="102" spans="1:3" s="296" customFormat="1" ht="12">
      <c r="A102" s="274" t="s">
        <v>799</v>
      </c>
      <c r="B102" s="484">
        <f>SUM(B103:B104)</f>
        <v>0</v>
      </c>
      <c r="C102" s="484">
        <f>SUM(C103:C104)</f>
        <v>0</v>
      </c>
    </row>
    <row r="103" spans="1:3" s="296" customFormat="1" ht="12">
      <c r="A103" s="274" t="s">
        <v>497</v>
      </c>
      <c r="B103" s="484"/>
      <c r="C103" s="484"/>
    </row>
    <row r="104" spans="1:3" s="296" customFormat="1" ht="12" hidden="1">
      <c r="A104" s="276" t="s">
        <v>398</v>
      </c>
      <c r="B104" s="484"/>
      <c r="C104" s="484"/>
    </row>
    <row r="105" spans="1:3" s="296" customFormat="1" ht="12">
      <c r="A105" s="276" t="s">
        <v>938</v>
      </c>
      <c r="B105" s="484">
        <f>SUM(B106:B108)</f>
        <v>0</v>
      </c>
      <c r="C105" s="484">
        <f>SUM(C106:C108)</f>
        <v>0</v>
      </c>
    </row>
    <row r="106" spans="1:3" s="296" customFormat="1" ht="12" hidden="1">
      <c r="A106" s="276" t="s">
        <v>398</v>
      </c>
      <c r="B106" s="484"/>
      <c r="C106" s="484"/>
    </row>
    <row r="107" spans="1:3" s="296" customFormat="1" ht="12" hidden="1">
      <c r="A107" s="276" t="s">
        <v>583</v>
      </c>
      <c r="B107" s="484"/>
      <c r="C107" s="484"/>
    </row>
    <row r="108" spans="1:3" s="296" customFormat="1" ht="12" hidden="1">
      <c r="A108" s="276" t="s">
        <v>353</v>
      </c>
      <c r="B108" s="484"/>
      <c r="C108" s="484"/>
    </row>
    <row r="109" spans="1:3" s="296" customFormat="1" ht="12">
      <c r="A109" s="276" t="s">
        <v>498</v>
      </c>
      <c r="B109" s="484">
        <f>SUM(B110:B112)</f>
        <v>0</v>
      </c>
      <c r="C109" s="484">
        <f>SUM(C110:C112)</f>
        <v>1435</v>
      </c>
    </row>
    <row r="110" spans="1:3" s="296" customFormat="1" ht="12" hidden="1">
      <c r="A110" s="276" t="s">
        <v>499</v>
      </c>
      <c r="B110" s="484"/>
      <c r="C110" s="484"/>
    </row>
    <row r="111" spans="1:3" s="296" customFormat="1" ht="12" hidden="1">
      <c r="A111" s="276" t="s">
        <v>398</v>
      </c>
      <c r="B111" s="484"/>
      <c r="C111" s="484"/>
    </row>
    <row r="112" spans="1:3" s="296" customFormat="1" ht="12">
      <c r="A112" s="276" t="s">
        <v>365</v>
      </c>
      <c r="B112" s="484"/>
      <c r="C112" s="484">
        <v>1435</v>
      </c>
    </row>
    <row r="113" spans="1:3" s="296" customFormat="1" ht="12">
      <c r="A113" s="277" t="s">
        <v>500</v>
      </c>
      <c r="B113" s="485">
        <f>B101+B102-B105-B109</f>
        <v>0</v>
      </c>
      <c r="C113" s="485">
        <f>C101+C102-C105-C109</f>
        <v>0</v>
      </c>
    </row>
    <row r="114" spans="1:3" s="296" customFormat="1" ht="12">
      <c r="A114" s="278" t="s">
        <v>502</v>
      </c>
      <c r="B114" s="484"/>
      <c r="C114" s="484"/>
    </row>
    <row r="115" spans="1:3" s="296" customFormat="1" ht="12">
      <c r="A115" s="274" t="s">
        <v>496</v>
      </c>
      <c r="B115" s="484">
        <v>0</v>
      </c>
      <c r="C115" s="484">
        <v>0</v>
      </c>
    </row>
    <row r="116" spans="1:3" s="296" customFormat="1" ht="12">
      <c r="A116" s="274" t="s">
        <v>799</v>
      </c>
      <c r="B116" s="484">
        <f>SUM(B117:B118)</f>
        <v>0</v>
      </c>
      <c r="C116" s="484">
        <f>SUM(C117:C118)</f>
        <v>0</v>
      </c>
    </row>
    <row r="117" spans="1:3" s="296" customFormat="1" ht="12" hidden="1">
      <c r="A117" s="274" t="s">
        <v>497</v>
      </c>
      <c r="B117" s="484"/>
      <c r="C117" s="484"/>
    </row>
    <row r="118" spans="1:3" s="296" customFormat="1" ht="12" hidden="1">
      <c r="A118" s="276" t="s">
        <v>398</v>
      </c>
      <c r="B118" s="484"/>
      <c r="C118" s="484"/>
    </row>
    <row r="119" spans="1:3" s="296" customFormat="1" ht="12">
      <c r="A119" s="276" t="s">
        <v>938</v>
      </c>
      <c r="B119" s="484">
        <f>SUM(B120:B122)</f>
        <v>0</v>
      </c>
      <c r="C119" s="484">
        <f>SUM(C120:C122)</f>
        <v>0</v>
      </c>
    </row>
    <row r="120" spans="1:3" s="296" customFormat="1" ht="12" hidden="1">
      <c r="A120" s="276" t="s">
        <v>398</v>
      </c>
      <c r="B120" s="484"/>
      <c r="C120" s="484"/>
    </row>
    <row r="121" spans="1:3" s="296" customFormat="1" ht="12" hidden="1">
      <c r="A121" s="276" t="s">
        <v>583</v>
      </c>
      <c r="B121" s="484"/>
      <c r="C121" s="484"/>
    </row>
    <row r="122" spans="1:3" s="296" customFormat="1" ht="12" hidden="1">
      <c r="A122" s="276" t="s">
        <v>353</v>
      </c>
      <c r="B122" s="484"/>
      <c r="C122" s="484"/>
    </row>
    <row r="123" spans="1:3" s="296" customFormat="1" ht="12">
      <c r="A123" s="276" t="s">
        <v>498</v>
      </c>
      <c r="B123" s="484">
        <f>SUM(B124:B126)</f>
        <v>0</v>
      </c>
      <c r="C123" s="484">
        <f>SUM(C124:C126)</f>
        <v>0</v>
      </c>
    </row>
    <row r="124" spans="1:3" s="296" customFormat="1" ht="12" hidden="1">
      <c r="A124" s="276" t="s">
        <v>499</v>
      </c>
      <c r="B124" s="484"/>
      <c r="C124" s="484"/>
    </row>
    <row r="125" spans="1:3" s="296" customFormat="1" ht="12" hidden="1">
      <c r="A125" s="276" t="s">
        <v>398</v>
      </c>
      <c r="B125" s="484"/>
      <c r="C125" s="484"/>
    </row>
    <row r="126" spans="1:3" s="296" customFormat="1" ht="12" hidden="1">
      <c r="A126" s="276" t="s">
        <v>353</v>
      </c>
      <c r="B126" s="484"/>
      <c r="C126" s="484"/>
    </row>
    <row r="127" spans="1:3" s="296" customFormat="1" ht="12">
      <c r="A127" s="277" t="s">
        <v>500</v>
      </c>
      <c r="B127" s="485">
        <f>B115+B116-B119-B123</f>
        <v>0</v>
      </c>
      <c r="C127" s="485">
        <f>C115+C116-C119-C123</f>
        <v>0</v>
      </c>
    </row>
    <row r="128" spans="1:3" s="296" customFormat="1" ht="12">
      <c r="A128" s="278" t="s">
        <v>503</v>
      </c>
      <c r="B128" s="484"/>
      <c r="C128" s="484"/>
    </row>
    <row r="129" spans="1:3" s="296" customFormat="1" ht="12">
      <c r="A129" s="274" t="s">
        <v>496</v>
      </c>
      <c r="B129" s="484">
        <v>0</v>
      </c>
      <c r="C129" s="484">
        <v>0</v>
      </c>
    </row>
    <row r="130" spans="1:3" s="296" customFormat="1" ht="12">
      <c r="A130" s="274" t="s">
        <v>799</v>
      </c>
      <c r="B130" s="484">
        <f>SUM(B131:B132)</f>
        <v>0</v>
      </c>
      <c r="C130" s="484">
        <f>SUM(C131:C132)</f>
        <v>0</v>
      </c>
    </row>
    <row r="131" spans="1:3" s="296" customFormat="1" ht="12" hidden="1">
      <c r="A131" s="274" t="s">
        <v>497</v>
      </c>
      <c r="B131" s="484"/>
      <c r="C131" s="484"/>
    </row>
    <row r="132" spans="1:3" s="296" customFormat="1" ht="12" hidden="1">
      <c r="A132" s="276" t="s">
        <v>398</v>
      </c>
      <c r="B132" s="484"/>
      <c r="C132" s="484"/>
    </row>
    <row r="133" spans="1:3" s="296" customFormat="1" ht="12">
      <c r="A133" s="276" t="s">
        <v>938</v>
      </c>
      <c r="B133" s="484">
        <f>SUM(B134:B136)</f>
        <v>0</v>
      </c>
      <c r="C133" s="484">
        <f>SUM(C134:C136)</f>
        <v>0</v>
      </c>
    </row>
    <row r="134" spans="1:3" s="296" customFormat="1" ht="12" hidden="1">
      <c r="A134" s="276" t="s">
        <v>398</v>
      </c>
      <c r="B134" s="484"/>
      <c r="C134" s="484"/>
    </row>
    <row r="135" spans="1:3" s="296" customFormat="1" ht="12" hidden="1">
      <c r="A135" s="276" t="s">
        <v>583</v>
      </c>
      <c r="B135" s="484"/>
      <c r="C135" s="484"/>
    </row>
    <row r="136" spans="1:3" s="296" customFormat="1" ht="12" hidden="1">
      <c r="A136" s="276" t="s">
        <v>353</v>
      </c>
      <c r="B136" s="484"/>
      <c r="C136" s="484"/>
    </row>
    <row r="137" spans="1:3" s="296" customFormat="1" ht="12">
      <c r="A137" s="276" t="s">
        <v>498</v>
      </c>
      <c r="B137" s="484">
        <f>SUM(B138:B140)</f>
        <v>0</v>
      </c>
      <c r="C137" s="484">
        <f>SUM(C138:C140)</f>
        <v>0</v>
      </c>
    </row>
    <row r="138" spans="1:3" s="296" customFormat="1" ht="12" hidden="1">
      <c r="A138" s="276" t="s">
        <v>499</v>
      </c>
      <c r="B138" s="484"/>
      <c r="C138" s="484"/>
    </row>
    <row r="139" spans="1:3" s="296" customFormat="1" ht="12" hidden="1">
      <c r="A139" s="276" t="s">
        <v>398</v>
      </c>
      <c r="B139" s="484"/>
      <c r="C139" s="484"/>
    </row>
    <row r="140" spans="1:3" s="296" customFormat="1" ht="12" hidden="1">
      <c r="A140" s="276" t="s">
        <v>353</v>
      </c>
      <c r="B140" s="484"/>
      <c r="C140" s="484"/>
    </row>
    <row r="141" spans="1:3" s="296" customFormat="1" ht="12">
      <c r="A141" s="277" t="s">
        <v>500</v>
      </c>
      <c r="B141" s="485">
        <f>B129+B130-B133-B137</f>
        <v>0</v>
      </c>
      <c r="C141" s="485">
        <f>C129+C130-C133-C137</f>
        <v>0</v>
      </c>
    </row>
    <row r="142" spans="1:3" s="296" customFormat="1" ht="30.75" customHeight="1" thickBot="1">
      <c r="A142" s="136" t="s">
        <v>504</v>
      </c>
      <c r="B142" s="510">
        <f>B99+B113+B127+B141</f>
        <v>481</v>
      </c>
      <c r="C142" s="510">
        <f>C99+C113+C127+C141</f>
        <v>481</v>
      </c>
    </row>
    <row r="143" spans="1:3" s="296" customFormat="1" ht="12">
      <c r="A143" s="51"/>
      <c r="B143" s="482"/>
      <c r="C143" s="482"/>
    </row>
    <row r="144" spans="1:3" s="296" customFormat="1" ht="17.25" thickBot="1">
      <c r="A144" s="52" t="s">
        <v>369</v>
      </c>
      <c r="B144" s="482"/>
      <c r="C144" s="482"/>
    </row>
    <row r="145" spans="1:3" s="296" customFormat="1" ht="24" customHeight="1">
      <c r="A145" s="132" t="s">
        <v>505</v>
      </c>
      <c r="B145" s="302" t="e">
        <f>B10</f>
        <v>#REF!</v>
      </c>
      <c r="C145" s="302" t="e">
        <f>C10</f>
        <v>#REF!</v>
      </c>
    </row>
    <row r="146" spans="1:3" s="296" customFormat="1" ht="12">
      <c r="A146" s="275" t="s">
        <v>495</v>
      </c>
      <c r="B146" s="484"/>
      <c r="C146" s="484"/>
    </row>
    <row r="147" spans="1:3" s="296" customFormat="1" ht="12">
      <c r="A147" s="274" t="s">
        <v>496</v>
      </c>
      <c r="B147" s="484">
        <f>C159</f>
        <v>97</v>
      </c>
      <c r="C147" s="484">
        <v>105</v>
      </c>
    </row>
    <row r="148" spans="1:3" s="296" customFormat="1" ht="12">
      <c r="A148" s="274" t="s">
        <v>799</v>
      </c>
      <c r="B148" s="484">
        <f>SUM(B149:B150)</f>
        <v>0</v>
      </c>
      <c r="C148" s="484">
        <f>SUM(C149:C150)</f>
        <v>8</v>
      </c>
    </row>
    <row r="149" spans="1:3" s="296" customFormat="1" ht="12">
      <c r="A149" s="274" t="s">
        <v>497</v>
      </c>
      <c r="B149" s="484"/>
      <c r="C149" s="484">
        <v>8</v>
      </c>
    </row>
    <row r="150" spans="1:3" s="296" customFormat="1" ht="12" hidden="1">
      <c r="A150" s="276" t="s">
        <v>398</v>
      </c>
      <c r="B150" s="484"/>
      <c r="C150" s="484"/>
    </row>
    <row r="151" spans="1:3" s="296" customFormat="1" ht="12">
      <c r="A151" s="276" t="s">
        <v>938</v>
      </c>
      <c r="B151" s="484">
        <f>SUM(B152:B154)</f>
        <v>0</v>
      </c>
      <c r="C151" s="484">
        <f>SUM(C152:C154)</f>
        <v>0</v>
      </c>
    </row>
    <row r="152" spans="1:3" s="296" customFormat="1" ht="12" hidden="1">
      <c r="A152" s="276" t="s">
        <v>398</v>
      </c>
      <c r="B152" s="484"/>
      <c r="C152" s="484"/>
    </row>
    <row r="153" spans="1:3" s="296" customFormat="1" ht="12" hidden="1">
      <c r="A153" s="276" t="s">
        <v>583</v>
      </c>
      <c r="B153" s="484"/>
      <c r="C153" s="484"/>
    </row>
    <row r="154" spans="1:3" s="296" customFormat="1" ht="12" hidden="1">
      <c r="A154" s="276" t="s">
        <v>353</v>
      </c>
      <c r="B154" s="484"/>
      <c r="C154" s="484"/>
    </row>
    <row r="155" spans="1:3" s="296" customFormat="1" ht="12">
      <c r="A155" s="276" t="s">
        <v>498</v>
      </c>
      <c r="B155" s="484">
        <f>SUM(B156:B158)</f>
        <v>0</v>
      </c>
      <c r="C155" s="484">
        <f>SUM(C156:C158)</f>
        <v>16</v>
      </c>
    </row>
    <row r="156" spans="1:3" s="296" customFormat="1" ht="12">
      <c r="A156" s="276" t="s">
        <v>499</v>
      </c>
      <c r="B156" s="484"/>
      <c r="C156" s="484">
        <v>16</v>
      </c>
    </row>
    <row r="157" spans="1:3" s="296" customFormat="1" ht="12" hidden="1">
      <c r="A157" s="276" t="s">
        <v>398</v>
      </c>
      <c r="B157" s="484"/>
      <c r="C157" s="484"/>
    </row>
    <row r="158" spans="1:3" s="296" customFormat="1" ht="12" hidden="1">
      <c r="A158" s="276" t="s">
        <v>959</v>
      </c>
      <c r="B158" s="484"/>
      <c r="C158" s="484"/>
    </row>
    <row r="159" spans="1:3" s="296" customFormat="1" ht="12">
      <c r="A159" s="277" t="s">
        <v>500</v>
      </c>
      <c r="B159" s="485">
        <f>B147+B148-B151-B155</f>
        <v>97</v>
      </c>
      <c r="C159" s="485">
        <f>C147+C148-C151-C155</f>
        <v>97</v>
      </c>
    </row>
    <row r="160" spans="1:3" s="296" customFormat="1" ht="12">
      <c r="A160" s="278" t="s">
        <v>501</v>
      </c>
      <c r="B160" s="484"/>
      <c r="C160" s="484"/>
    </row>
    <row r="161" spans="1:3" s="296" customFormat="1" ht="12">
      <c r="A161" s="274" t="s">
        <v>496</v>
      </c>
      <c r="B161" s="484">
        <f>C173</f>
        <v>0</v>
      </c>
      <c r="C161" s="484">
        <v>72</v>
      </c>
    </row>
    <row r="162" spans="1:3" s="296" customFormat="1" ht="12">
      <c r="A162" s="274" t="s">
        <v>799</v>
      </c>
      <c r="B162" s="484">
        <f>SUM(B163:B164)</f>
        <v>0</v>
      </c>
      <c r="C162" s="484">
        <f>SUM(C163:C164)</f>
        <v>0</v>
      </c>
    </row>
    <row r="163" spans="1:3" s="296" customFormat="1" ht="12" hidden="1">
      <c r="A163" s="274" t="s">
        <v>497</v>
      </c>
      <c r="B163" s="484"/>
      <c r="C163" s="484"/>
    </row>
    <row r="164" spans="1:3" s="296" customFormat="1" ht="12" hidden="1">
      <c r="A164" s="276" t="s">
        <v>398</v>
      </c>
      <c r="B164" s="484"/>
      <c r="C164" s="484"/>
    </row>
    <row r="165" spans="1:3" s="296" customFormat="1" ht="12">
      <c r="A165" s="276" t="s">
        <v>938</v>
      </c>
      <c r="B165" s="484">
        <f>SUM(B166:B168)</f>
        <v>0</v>
      </c>
      <c r="C165" s="484">
        <f>SUM(C166:C168)</f>
        <v>0</v>
      </c>
    </row>
    <row r="166" spans="1:3" s="296" customFormat="1" ht="12" hidden="1">
      <c r="A166" s="276" t="s">
        <v>398</v>
      </c>
      <c r="B166" s="484"/>
      <c r="C166" s="484"/>
    </row>
    <row r="167" spans="1:3" s="296" customFormat="1" ht="12" hidden="1">
      <c r="A167" s="276" t="s">
        <v>583</v>
      </c>
      <c r="B167" s="484"/>
      <c r="C167" s="484"/>
    </row>
    <row r="168" spans="1:3" s="296" customFormat="1" ht="12" hidden="1">
      <c r="A168" s="276" t="s">
        <v>353</v>
      </c>
      <c r="B168" s="484"/>
      <c r="C168" s="484"/>
    </row>
    <row r="169" spans="1:3" s="296" customFormat="1" ht="12">
      <c r="A169" s="276" t="s">
        <v>498</v>
      </c>
      <c r="B169" s="484">
        <f>SUM(B170:B172)</f>
        <v>0</v>
      </c>
      <c r="C169" s="484">
        <f>SUM(C170:C172)</f>
        <v>72</v>
      </c>
    </row>
    <row r="170" spans="1:3" s="296" customFormat="1" ht="12">
      <c r="A170" s="276" t="s">
        <v>499</v>
      </c>
      <c r="B170" s="484"/>
      <c r="C170" s="484">
        <v>36</v>
      </c>
    </row>
    <row r="171" spans="1:3" s="296" customFormat="1" ht="12" hidden="1">
      <c r="A171" s="276" t="s">
        <v>398</v>
      </c>
      <c r="B171" s="484"/>
      <c r="C171" s="484"/>
    </row>
    <row r="172" spans="1:3" s="296" customFormat="1" ht="12">
      <c r="A172" s="276" t="s">
        <v>366</v>
      </c>
      <c r="B172" s="484"/>
      <c r="C172" s="484">
        <v>36</v>
      </c>
    </row>
    <row r="173" spans="1:3" s="296" customFormat="1" ht="12">
      <c r="A173" s="277" t="s">
        <v>500</v>
      </c>
      <c r="B173" s="485">
        <f>B161+B162-B165-B169</f>
        <v>0</v>
      </c>
      <c r="C173" s="485">
        <f>C161+C162-C165-C169</f>
        <v>0</v>
      </c>
    </row>
    <row r="174" spans="1:3" s="296" customFormat="1" ht="12">
      <c r="A174" s="278" t="s">
        <v>502</v>
      </c>
      <c r="B174" s="484"/>
      <c r="C174" s="484"/>
    </row>
    <row r="175" spans="1:3" s="296" customFormat="1" ht="12">
      <c r="A175" s="274" t="s">
        <v>496</v>
      </c>
      <c r="B175" s="484">
        <v>0</v>
      </c>
      <c r="C175" s="484">
        <v>0</v>
      </c>
    </row>
    <row r="176" spans="1:3" s="296" customFormat="1" ht="12">
      <c r="A176" s="274" t="s">
        <v>799</v>
      </c>
      <c r="B176" s="484">
        <f>SUM(B177:B178)</f>
        <v>0</v>
      </c>
      <c r="C176" s="484">
        <f>SUM(C177:C178)</f>
        <v>0</v>
      </c>
    </row>
    <row r="177" spans="1:3" s="296" customFormat="1" ht="12" hidden="1">
      <c r="A177" s="274" t="s">
        <v>497</v>
      </c>
      <c r="B177" s="484"/>
      <c r="C177" s="484"/>
    </row>
    <row r="178" spans="1:3" s="296" customFormat="1" ht="12" hidden="1">
      <c r="A178" s="276" t="s">
        <v>398</v>
      </c>
      <c r="B178" s="484"/>
      <c r="C178" s="484"/>
    </row>
    <row r="179" spans="1:3" s="296" customFormat="1" ht="12">
      <c r="A179" s="276" t="s">
        <v>938</v>
      </c>
      <c r="B179" s="484">
        <f>SUM(B180:B182)</f>
        <v>0</v>
      </c>
      <c r="C179" s="484">
        <f>SUM(C180:C182)</f>
        <v>0</v>
      </c>
    </row>
    <row r="180" spans="1:3" s="296" customFormat="1" ht="12" hidden="1">
      <c r="A180" s="276" t="s">
        <v>398</v>
      </c>
      <c r="B180" s="484"/>
      <c r="C180" s="484"/>
    </row>
    <row r="181" spans="1:3" s="296" customFormat="1" ht="12" hidden="1">
      <c r="A181" s="276" t="s">
        <v>583</v>
      </c>
      <c r="B181" s="484"/>
      <c r="C181" s="484"/>
    </row>
    <row r="182" spans="1:3" s="296" customFormat="1" ht="12" hidden="1">
      <c r="A182" s="276" t="s">
        <v>353</v>
      </c>
      <c r="B182" s="484"/>
      <c r="C182" s="484"/>
    </row>
    <row r="183" spans="1:3" s="296" customFormat="1" ht="12">
      <c r="A183" s="276" t="s">
        <v>498</v>
      </c>
      <c r="B183" s="484">
        <f>SUM(B184:B186)</f>
        <v>0</v>
      </c>
      <c r="C183" s="484">
        <f>SUM(C184:C186)</f>
        <v>0</v>
      </c>
    </row>
    <row r="184" spans="1:3" s="296" customFormat="1" ht="12" hidden="1">
      <c r="A184" s="276" t="s">
        <v>499</v>
      </c>
      <c r="B184" s="484"/>
      <c r="C184" s="484"/>
    </row>
    <row r="185" spans="1:3" s="296" customFormat="1" ht="12" hidden="1">
      <c r="A185" s="276" t="s">
        <v>398</v>
      </c>
      <c r="B185" s="484"/>
      <c r="C185" s="484"/>
    </row>
    <row r="186" spans="1:3" s="296" customFormat="1" ht="12" hidden="1">
      <c r="A186" s="276" t="s">
        <v>353</v>
      </c>
      <c r="B186" s="484"/>
      <c r="C186" s="484"/>
    </row>
    <row r="187" spans="1:3" s="296" customFormat="1" ht="12">
      <c r="A187" s="277" t="s">
        <v>500</v>
      </c>
      <c r="B187" s="485">
        <f>B175+B176-B179-B183</f>
        <v>0</v>
      </c>
      <c r="C187" s="485">
        <f>C175+C176-C179-C183</f>
        <v>0</v>
      </c>
    </row>
    <row r="188" spans="1:3" s="296" customFormat="1" ht="12">
      <c r="A188" s="278" t="s">
        <v>503</v>
      </c>
      <c r="B188" s="484"/>
      <c r="C188" s="484"/>
    </row>
    <row r="189" spans="1:3" s="296" customFormat="1" ht="12">
      <c r="A189" s="274" t="s">
        <v>496</v>
      </c>
      <c r="B189" s="484">
        <v>0</v>
      </c>
      <c r="C189" s="484">
        <v>0</v>
      </c>
    </row>
    <row r="190" spans="1:3" s="296" customFormat="1" ht="12">
      <c r="A190" s="274" t="s">
        <v>799</v>
      </c>
      <c r="B190" s="484">
        <f>SUM(B191:B192)</f>
        <v>0</v>
      </c>
      <c r="C190" s="484">
        <f>SUM(C191:C192)</f>
        <v>0</v>
      </c>
    </row>
    <row r="191" spans="1:3" s="296" customFormat="1" ht="12" hidden="1">
      <c r="A191" s="274" t="s">
        <v>497</v>
      </c>
      <c r="B191" s="484"/>
      <c r="C191" s="484"/>
    </row>
    <row r="192" spans="1:3" s="296" customFormat="1" ht="12" hidden="1">
      <c r="A192" s="276" t="s">
        <v>398</v>
      </c>
      <c r="B192" s="484"/>
      <c r="C192" s="484"/>
    </row>
    <row r="193" spans="1:3" s="296" customFormat="1" ht="12">
      <c r="A193" s="276" t="s">
        <v>938</v>
      </c>
      <c r="B193" s="484">
        <f>SUM(B194:B196)</f>
        <v>0</v>
      </c>
      <c r="C193" s="484">
        <f>SUM(C194:C196)</f>
        <v>0</v>
      </c>
    </row>
    <row r="194" spans="1:3" s="296" customFormat="1" ht="12" hidden="1">
      <c r="A194" s="276" t="s">
        <v>398</v>
      </c>
      <c r="B194" s="484"/>
      <c r="C194" s="484"/>
    </row>
    <row r="195" spans="1:3" s="296" customFormat="1" ht="12" hidden="1">
      <c r="A195" s="276" t="s">
        <v>583</v>
      </c>
      <c r="B195" s="484"/>
      <c r="C195" s="484"/>
    </row>
    <row r="196" spans="1:3" s="296" customFormat="1" ht="12" hidden="1">
      <c r="A196" s="276" t="s">
        <v>353</v>
      </c>
      <c r="B196" s="484"/>
      <c r="C196" s="484"/>
    </row>
    <row r="197" spans="1:3" s="296" customFormat="1" ht="12">
      <c r="A197" s="276" t="s">
        <v>498</v>
      </c>
      <c r="B197" s="484">
        <f>SUM(B198:B200)</f>
        <v>0</v>
      </c>
      <c r="C197" s="484">
        <f>SUM(C198:C200)</f>
        <v>0</v>
      </c>
    </row>
    <row r="198" spans="1:3" s="296" customFormat="1" ht="12" hidden="1">
      <c r="A198" s="276" t="s">
        <v>499</v>
      </c>
      <c r="B198" s="484"/>
      <c r="C198" s="484"/>
    </row>
    <row r="199" spans="1:3" s="296" customFormat="1" ht="12" hidden="1">
      <c r="A199" s="276" t="s">
        <v>398</v>
      </c>
      <c r="B199" s="484"/>
      <c r="C199" s="484"/>
    </row>
    <row r="200" spans="1:3" s="296" customFormat="1" ht="12" hidden="1">
      <c r="A200" s="276" t="s">
        <v>353</v>
      </c>
      <c r="B200" s="484"/>
      <c r="C200" s="484"/>
    </row>
    <row r="201" spans="1:3" s="296" customFormat="1" ht="12">
      <c r="A201" s="277" t="s">
        <v>500</v>
      </c>
      <c r="B201" s="485">
        <f>B189+B190-B193-B197</f>
        <v>0</v>
      </c>
      <c r="C201" s="485">
        <f>C189+C190-C193-C197</f>
        <v>0</v>
      </c>
    </row>
    <row r="202" spans="1:3" s="296" customFormat="1" ht="24.75" thickBot="1">
      <c r="A202" s="136" t="s">
        <v>506</v>
      </c>
      <c r="B202" s="510">
        <f>B159+B173+B187+B201</f>
        <v>97</v>
      </c>
      <c r="C202" s="510">
        <f>C159+C173+C187+C201</f>
        <v>97</v>
      </c>
    </row>
    <row r="203" spans="1:3" s="296" customFormat="1" ht="12">
      <c r="A203" s="51"/>
      <c r="B203" s="482"/>
      <c r="C203" s="482"/>
    </row>
    <row r="204" spans="1:3" s="296" customFormat="1" ht="17.25" thickBot="1">
      <c r="A204" s="52" t="s">
        <v>822</v>
      </c>
      <c r="B204" s="482"/>
      <c r="C204" s="482"/>
    </row>
    <row r="205" spans="1:3" s="296" customFormat="1" ht="24" customHeight="1">
      <c r="A205" s="132" t="s">
        <v>507</v>
      </c>
      <c r="B205" s="302" t="e">
        <f>B10</f>
        <v>#REF!</v>
      </c>
      <c r="C205" s="302" t="e">
        <f>C10</f>
        <v>#REF!</v>
      </c>
    </row>
    <row r="206" spans="1:3" s="296" customFormat="1" ht="12">
      <c r="A206" s="275" t="s">
        <v>508</v>
      </c>
      <c r="B206" s="484"/>
      <c r="C206" s="484"/>
    </row>
    <row r="207" spans="1:3" s="296" customFormat="1" ht="12">
      <c r="A207" s="274" t="s">
        <v>496</v>
      </c>
      <c r="B207" s="484">
        <v>0</v>
      </c>
      <c r="C207" s="484">
        <v>0</v>
      </c>
    </row>
    <row r="208" spans="1:3" s="296" customFormat="1" ht="12">
      <c r="A208" s="274" t="s">
        <v>799</v>
      </c>
      <c r="B208" s="484">
        <f>SUM(B209:B210)</f>
        <v>0</v>
      </c>
      <c r="C208" s="484">
        <f>SUM(C209:C210)</f>
        <v>0</v>
      </c>
    </row>
    <row r="209" spans="1:3" s="296" customFormat="1" ht="12" hidden="1">
      <c r="A209" s="274" t="s">
        <v>497</v>
      </c>
      <c r="B209" s="484"/>
      <c r="C209" s="484"/>
    </row>
    <row r="210" spans="1:3" s="296" customFormat="1" ht="12" hidden="1">
      <c r="A210" s="276" t="s">
        <v>398</v>
      </c>
      <c r="B210" s="484"/>
      <c r="C210" s="484"/>
    </row>
    <row r="211" spans="1:3" s="296" customFormat="1" ht="12">
      <c r="A211" s="276" t="s">
        <v>938</v>
      </c>
      <c r="B211" s="484">
        <f>SUM(B212:B214)</f>
        <v>0</v>
      </c>
      <c r="C211" s="484">
        <f>SUM(C212:C214)</f>
        <v>0</v>
      </c>
    </row>
    <row r="212" spans="1:3" s="296" customFormat="1" ht="12" hidden="1">
      <c r="A212" s="276" t="s">
        <v>398</v>
      </c>
      <c r="B212" s="484"/>
      <c r="C212" s="484"/>
    </row>
    <row r="213" spans="1:3" s="296" customFormat="1" ht="12" hidden="1">
      <c r="A213" s="276" t="s">
        <v>583</v>
      </c>
      <c r="B213" s="484"/>
      <c r="C213" s="484"/>
    </row>
    <row r="214" spans="1:3" s="296" customFormat="1" ht="12" hidden="1">
      <c r="A214" s="276" t="s">
        <v>353</v>
      </c>
      <c r="B214" s="484"/>
      <c r="C214" s="484"/>
    </row>
    <row r="215" spans="1:3" s="296" customFormat="1" ht="12">
      <c r="A215" s="276" t="s">
        <v>498</v>
      </c>
      <c r="B215" s="484">
        <f>SUM(B216:B218)</f>
        <v>0</v>
      </c>
      <c r="C215" s="484">
        <f>SUM(C216:C218)</f>
        <v>0</v>
      </c>
    </row>
    <row r="216" spans="1:3" s="296" customFormat="1" ht="12" hidden="1">
      <c r="A216" s="276" t="s">
        <v>499</v>
      </c>
      <c r="B216" s="484"/>
      <c r="C216" s="484"/>
    </row>
    <row r="217" spans="1:3" s="296" customFormat="1" ht="12" hidden="1">
      <c r="A217" s="276" t="s">
        <v>398</v>
      </c>
      <c r="B217" s="484"/>
      <c r="C217" s="484"/>
    </row>
    <row r="218" spans="1:3" s="296" customFormat="1" ht="12" hidden="1">
      <c r="A218" s="276" t="s">
        <v>353</v>
      </c>
      <c r="B218" s="484"/>
      <c r="C218" s="484"/>
    </row>
    <row r="219" spans="1:3" s="296" customFormat="1" ht="12">
      <c r="A219" s="277" t="s">
        <v>500</v>
      </c>
      <c r="B219" s="485">
        <f>B207+B208-B211-B215</f>
        <v>0</v>
      </c>
      <c r="C219" s="485">
        <f>C207+C208-C211-C215</f>
        <v>0</v>
      </c>
    </row>
    <row r="220" spans="1:3" s="296" customFormat="1" ht="12">
      <c r="A220" s="278" t="s">
        <v>627</v>
      </c>
      <c r="B220" s="484"/>
      <c r="C220" s="484"/>
    </row>
    <row r="221" spans="1:3" s="296" customFormat="1" ht="12">
      <c r="A221" s="274" t="s">
        <v>496</v>
      </c>
      <c r="B221" s="484">
        <v>0</v>
      </c>
      <c r="C221" s="484">
        <v>0</v>
      </c>
    </row>
    <row r="222" spans="1:3" s="296" customFormat="1" ht="12">
      <c r="A222" s="274" t="s">
        <v>799</v>
      </c>
      <c r="B222" s="484">
        <f>SUM(B223:B224)</f>
        <v>0</v>
      </c>
      <c r="C222" s="484">
        <f>SUM(C223:C224)</f>
        <v>0</v>
      </c>
    </row>
    <row r="223" spans="1:3" s="296" customFormat="1" ht="12" hidden="1">
      <c r="A223" s="274" t="s">
        <v>497</v>
      </c>
      <c r="B223" s="484"/>
      <c r="C223" s="484"/>
    </row>
    <row r="224" spans="1:3" s="296" customFormat="1" ht="12" hidden="1">
      <c r="A224" s="276" t="s">
        <v>398</v>
      </c>
      <c r="B224" s="484"/>
      <c r="C224" s="484"/>
    </row>
    <row r="225" spans="1:3" s="296" customFormat="1" ht="13.5" customHeight="1">
      <c r="A225" s="276" t="s">
        <v>938</v>
      </c>
      <c r="B225" s="484">
        <f>SUM(B226:B228)</f>
        <v>0</v>
      </c>
      <c r="C225" s="484">
        <f>SUM(C226:C228)</f>
        <v>0</v>
      </c>
    </row>
    <row r="226" spans="1:3" s="296" customFormat="1" ht="12" hidden="1">
      <c r="A226" s="276" t="s">
        <v>398</v>
      </c>
      <c r="B226" s="484"/>
      <c r="C226" s="484"/>
    </row>
    <row r="227" spans="1:3" s="296" customFormat="1" ht="12" hidden="1">
      <c r="A227" s="276" t="s">
        <v>583</v>
      </c>
      <c r="B227" s="484"/>
      <c r="C227" s="484"/>
    </row>
    <row r="228" spans="1:3" s="296" customFormat="1" ht="12" hidden="1">
      <c r="A228" s="276" t="s">
        <v>353</v>
      </c>
      <c r="B228" s="484"/>
      <c r="C228" s="484"/>
    </row>
    <row r="229" spans="1:3" s="296" customFormat="1" ht="12">
      <c r="A229" s="276" t="s">
        <v>498</v>
      </c>
      <c r="B229" s="484">
        <f>SUM(B230:B232)</f>
        <v>0</v>
      </c>
      <c r="C229" s="484">
        <f>SUM(C230:C232)</f>
        <v>0</v>
      </c>
    </row>
    <row r="230" spans="1:3" s="296" customFormat="1" ht="12" hidden="1">
      <c r="A230" s="276" t="s">
        <v>499</v>
      </c>
      <c r="B230" s="484"/>
      <c r="C230" s="484"/>
    </row>
    <row r="231" spans="1:3" s="296" customFormat="1" ht="12" hidden="1">
      <c r="A231" s="276" t="s">
        <v>398</v>
      </c>
      <c r="B231" s="484"/>
      <c r="C231" s="484"/>
    </row>
    <row r="232" spans="1:3" s="296" customFormat="1" ht="12" hidden="1">
      <c r="A232" s="276" t="s">
        <v>353</v>
      </c>
      <c r="B232" s="484"/>
      <c r="C232" s="484"/>
    </row>
    <row r="233" spans="1:3" s="296" customFormat="1" ht="12">
      <c r="A233" s="277" t="s">
        <v>500</v>
      </c>
      <c r="B233" s="485">
        <f>B221+B222-B225-B229</f>
        <v>0</v>
      </c>
      <c r="C233" s="485">
        <f>C221+C222-C225-C229</f>
        <v>0</v>
      </c>
    </row>
    <row r="234" spans="1:3" s="296" customFormat="1" ht="12">
      <c r="A234" s="278" t="s">
        <v>628</v>
      </c>
      <c r="B234" s="484"/>
      <c r="C234" s="484"/>
    </row>
    <row r="235" spans="1:3" s="296" customFormat="1" ht="12">
      <c r="A235" s="274" t="s">
        <v>496</v>
      </c>
      <c r="B235" s="484">
        <v>0</v>
      </c>
      <c r="C235" s="484">
        <v>0</v>
      </c>
    </row>
    <row r="236" spans="1:3" s="296" customFormat="1" ht="12">
      <c r="A236" s="274" t="s">
        <v>799</v>
      </c>
      <c r="B236" s="484">
        <f>SUM(B237:B238)</f>
        <v>0</v>
      </c>
      <c r="C236" s="484">
        <f>SUM(C237:C238)</f>
        <v>0</v>
      </c>
    </row>
    <row r="237" spans="1:3" s="296" customFormat="1" ht="12" hidden="1">
      <c r="A237" s="274" t="s">
        <v>497</v>
      </c>
      <c r="B237" s="484"/>
      <c r="C237" s="484"/>
    </row>
    <row r="238" spans="1:3" s="296" customFormat="1" ht="12" hidden="1">
      <c r="A238" s="276" t="s">
        <v>398</v>
      </c>
      <c r="B238" s="484"/>
      <c r="C238" s="484"/>
    </row>
    <row r="239" spans="1:3" s="296" customFormat="1" ht="12">
      <c r="A239" s="276" t="s">
        <v>938</v>
      </c>
      <c r="B239" s="484">
        <f>SUM(B240:B242)</f>
        <v>0</v>
      </c>
      <c r="C239" s="484">
        <f>SUM(C240:C242)</f>
        <v>0</v>
      </c>
    </row>
    <row r="240" spans="1:3" s="296" customFormat="1" ht="12" hidden="1">
      <c r="A240" s="276" t="s">
        <v>398</v>
      </c>
      <c r="B240" s="484"/>
      <c r="C240" s="484"/>
    </row>
    <row r="241" spans="1:3" s="296" customFormat="1" ht="12" hidden="1">
      <c r="A241" s="276" t="s">
        <v>583</v>
      </c>
      <c r="B241" s="484"/>
      <c r="C241" s="484"/>
    </row>
    <row r="242" spans="1:3" s="296" customFormat="1" ht="12" hidden="1">
      <c r="A242" s="276" t="s">
        <v>353</v>
      </c>
      <c r="B242" s="484"/>
      <c r="C242" s="484"/>
    </row>
    <row r="243" spans="1:3" s="296" customFormat="1" ht="12">
      <c r="A243" s="276" t="s">
        <v>498</v>
      </c>
      <c r="B243" s="484">
        <f>SUM(B244:B246)</f>
        <v>0</v>
      </c>
      <c r="C243" s="484">
        <f>SUM(C244:C246)</f>
        <v>0</v>
      </c>
    </row>
    <row r="244" spans="1:3" s="296" customFormat="1" ht="12" hidden="1">
      <c r="A244" s="276" t="s">
        <v>499</v>
      </c>
      <c r="B244" s="484"/>
      <c r="C244" s="484"/>
    </row>
    <row r="245" spans="1:3" s="296" customFormat="1" ht="12" hidden="1">
      <c r="A245" s="276" t="s">
        <v>398</v>
      </c>
      <c r="B245" s="484"/>
      <c r="C245" s="484"/>
    </row>
    <row r="246" spans="1:3" s="296" customFormat="1" ht="12" hidden="1">
      <c r="A246" s="276" t="s">
        <v>353</v>
      </c>
      <c r="B246" s="484"/>
      <c r="C246" s="484"/>
    </row>
    <row r="247" spans="1:3" s="296" customFormat="1" ht="12">
      <c r="A247" s="277" t="s">
        <v>500</v>
      </c>
      <c r="B247" s="485">
        <f>B235+B236-B239-B243</f>
        <v>0</v>
      </c>
      <c r="C247" s="485">
        <f>C235+C236-C239-C243</f>
        <v>0</v>
      </c>
    </row>
    <row r="248" spans="1:3" s="296" customFormat="1" ht="12">
      <c r="A248" s="278" t="s">
        <v>503</v>
      </c>
      <c r="B248" s="484"/>
      <c r="C248" s="484"/>
    </row>
    <row r="249" spans="1:3" s="296" customFormat="1" ht="12">
      <c r="A249" s="274" t="s">
        <v>496</v>
      </c>
      <c r="B249" s="484">
        <v>0</v>
      </c>
      <c r="C249" s="484">
        <v>0</v>
      </c>
    </row>
    <row r="250" spans="1:3" s="296" customFormat="1" ht="12">
      <c r="A250" s="274" t="s">
        <v>799</v>
      </c>
      <c r="B250" s="484">
        <f>SUM(B251:B252)</f>
        <v>0</v>
      </c>
      <c r="C250" s="484">
        <f>SUM(C251:C252)</f>
        <v>0</v>
      </c>
    </row>
    <row r="251" spans="1:3" s="296" customFormat="1" ht="12" hidden="1">
      <c r="A251" s="274" t="s">
        <v>497</v>
      </c>
      <c r="B251" s="484"/>
      <c r="C251" s="484"/>
    </row>
    <row r="252" spans="1:3" s="296" customFormat="1" ht="12" hidden="1">
      <c r="A252" s="276" t="s">
        <v>398</v>
      </c>
      <c r="B252" s="484"/>
      <c r="C252" s="484"/>
    </row>
    <row r="253" spans="1:3" s="296" customFormat="1" ht="12">
      <c r="A253" s="276" t="s">
        <v>938</v>
      </c>
      <c r="B253" s="484">
        <f>SUM(B254:B256)</f>
        <v>0</v>
      </c>
      <c r="C253" s="484">
        <f>SUM(C254:C256)</f>
        <v>0</v>
      </c>
    </row>
    <row r="254" spans="1:3" s="296" customFormat="1" ht="12" hidden="1">
      <c r="A254" s="276" t="s">
        <v>398</v>
      </c>
      <c r="B254" s="484"/>
      <c r="C254" s="484"/>
    </row>
    <row r="255" spans="1:3" s="296" customFormat="1" ht="12" hidden="1">
      <c r="A255" s="276" t="s">
        <v>583</v>
      </c>
      <c r="B255" s="484"/>
      <c r="C255" s="484"/>
    </row>
    <row r="256" spans="1:3" s="296" customFormat="1" ht="12" hidden="1">
      <c r="A256" s="276" t="s">
        <v>353</v>
      </c>
      <c r="B256" s="484"/>
      <c r="C256" s="484"/>
    </row>
    <row r="257" spans="1:3" s="296" customFormat="1" ht="12">
      <c r="A257" s="276" t="s">
        <v>498</v>
      </c>
      <c r="B257" s="484">
        <f>SUM(B258:B260)</f>
        <v>0</v>
      </c>
      <c r="C257" s="484">
        <f>SUM(C258:C260)</f>
        <v>0</v>
      </c>
    </row>
    <row r="258" spans="1:3" s="296" customFormat="1" ht="13.5" customHeight="1" hidden="1">
      <c r="A258" s="276" t="s">
        <v>499</v>
      </c>
      <c r="B258" s="484"/>
      <c r="C258" s="484"/>
    </row>
    <row r="259" spans="1:3" s="296" customFormat="1" ht="12" hidden="1">
      <c r="A259" s="276" t="s">
        <v>398</v>
      </c>
      <c r="B259" s="484"/>
      <c r="C259" s="484"/>
    </row>
    <row r="260" spans="1:3" s="296" customFormat="1" ht="12" hidden="1">
      <c r="A260" s="276" t="s">
        <v>353</v>
      </c>
      <c r="B260" s="484"/>
      <c r="C260" s="484"/>
    </row>
    <row r="261" spans="1:3" s="296" customFormat="1" ht="12">
      <c r="A261" s="277" t="s">
        <v>500</v>
      </c>
      <c r="B261" s="485">
        <f>B249+B250-B253-B257</f>
        <v>0</v>
      </c>
      <c r="C261" s="485">
        <f>C249+C250-C253-C257</f>
        <v>0</v>
      </c>
    </row>
    <row r="262" spans="1:3" s="296" customFormat="1" ht="12.75" thickBot="1">
      <c r="A262" s="136" t="s">
        <v>312</v>
      </c>
      <c r="B262" s="486">
        <f>B219+B233+B247+B261</f>
        <v>0</v>
      </c>
      <c r="C262" s="486">
        <f>C219+C233+C247+C261</f>
        <v>0</v>
      </c>
    </row>
    <row r="263" spans="1:3" s="296" customFormat="1" ht="12">
      <c r="A263" s="51"/>
      <c r="B263" s="482"/>
      <c r="C263" s="482"/>
    </row>
    <row r="264" spans="1:3" s="296" customFormat="1" ht="17.25" thickBot="1">
      <c r="A264" s="52" t="s">
        <v>823</v>
      </c>
      <c r="B264" s="482"/>
      <c r="C264" s="482"/>
    </row>
    <row r="265" spans="1:3" s="296" customFormat="1" ht="24" customHeight="1">
      <c r="A265" s="132" t="s">
        <v>132</v>
      </c>
      <c r="B265" s="302" t="e">
        <f>B10</f>
        <v>#REF!</v>
      </c>
      <c r="C265" s="302" t="e">
        <f>C10</f>
        <v>#REF!</v>
      </c>
    </row>
    <row r="266" spans="1:3" s="296" customFormat="1" ht="12">
      <c r="A266" s="275" t="s">
        <v>508</v>
      </c>
      <c r="B266" s="484"/>
      <c r="C266" s="484"/>
    </row>
    <row r="267" spans="1:3" s="296" customFormat="1" ht="12">
      <c r="A267" s="274" t="s">
        <v>496</v>
      </c>
      <c r="B267" s="484">
        <v>0</v>
      </c>
      <c r="C267" s="484">
        <v>0</v>
      </c>
    </row>
    <row r="268" spans="1:3" s="296" customFormat="1" ht="12">
      <c r="A268" s="274" t="s">
        <v>799</v>
      </c>
      <c r="B268" s="484">
        <f>SUM(B269:B270)</f>
        <v>0</v>
      </c>
      <c r="C268" s="484">
        <f>SUM(C269:C270)</f>
        <v>0</v>
      </c>
    </row>
    <row r="269" spans="1:3" s="296" customFormat="1" ht="12" hidden="1">
      <c r="A269" s="274" t="s">
        <v>497</v>
      </c>
      <c r="B269" s="484"/>
      <c r="C269" s="484"/>
    </row>
    <row r="270" spans="1:3" s="296" customFormat="1" ht="12" hidden="1">
      <c r="A270" s="276" t="s">
        <v>398</v>
      </c>
      <c r="B270" s="484"/>
      <c r="C270" s="484"/>
    </row>
    <row r="271" spans="1:3" s="296" customFormat="1" ht="12">
      <c r="A271" s="276" t="s">
        <v>938</v>
      </c>
      <c r="B271" s="484">
        <f>SUM(B272:B274)</f>
        <v>0</v>
      </c>
      <c r="C271" s="484">
        <f>SUM(C272:C274)</f>
        <v>0</v>
      </c>
    </row>
    <row r="272" spans="1:3" s="296" customFormat="1" ht="12" hidden="1">
      <c r="A272" s="276" t="s">
        <v>398</v>
      </c>
      <c r="B272" s="484"/>
      <c r="C272" s="484"/>
    </row>
    <row r="273" spans="1:3" s="296" customFormat="1" ht="12" hidden="1">
      <c r="A273" s="276" t="s">
        <v>583</v>
      </c>
      <c r="B273" s="484"/>
      <c r="C273" s="484"/>
    </row>
    <row r="274" spans="1:3" s="296" customFormat="1" ht="12" hidden="1">
      <c r="A274" s="276" t="s">
        <v>353</v>
      </c>
      <c r="B274" s="484"/>
      <c r="C274" s="484"/>
    </row>
    <row r="275" spans="1:3" s="296" customFormat="1" ht="12">
      <c r="A275" s="276" t="s">
        <v>498</v>
      </c>
      <c r="B275" s="484">
        <f>SUM(B276:B278)</f>
        <v>0</v>
      </c>
      <c r="C275" s="484">
        <f>SUM(C276:C278)</f>
        <v>0</v>
      </c>
    </row>
    <row r="276" spans="1:3" s="296" customFormat="1" ht="12" hidden="1">
      <c r="A276" s="276" t="s">
        <v>499</v>
      </c>
      <c r="B276" s="484"/>
      <c r="C276" s="484"/>
    </row>
    <row r="277" spans="1:3" s="296" customFormat="1" ht="12" hidden="1">
      <c r="A277" s="276" t="s">
        <v>398</v>
      </c>
      <c r="B277" s="484"/>
      <c r="C277" s="484"/>
    </row>
    <row r="278" spans="1:3" s="296" customFormat="1" ht="12" hidden="1">
      <c r="A278" s="276" t="s">
        <v>353</v>
      </c>
      <c r="B278" s="484"/>
      <c r="C278" s="484"/>
    </row>
    <row r="279" spans="1:3" s="296" customFormat="1" ht="12">
      <c r="A279" s="277" t="s">
        <v>500</v>
      </c>
      <c r="B279" s="485">
        <f>B267+B268-B271-B275</f>
        <v>0</v>
      </c>
      <c r="C279" s="485">
        <f>C267+C268-C271-C275</f>
        <v>0</v>
      </c>
    </row>
    <row r="280" spans="1:3" s="296" customFormat="1" ht="12">
      <c r="A280" s="278" t="s">
        <v>627</v>
      </c>
      <c r="B280" s="484"/>
      <c r="C280" s="484"/>
    </row>
    <row r="281" spans="1:3" s="296" customFormat="1" ht="12">
      <c r="A281" s="274" t="s">
        <v>496</v>
      </c>
      <c r="B281" s="484">
        <v>0</v>
      </c>
      <c r="C281" s="484">
        <v>0</v>
      </c>
    </row>
    <row r="282" spans="1:3" s="296" customFormat="1" ht="12">
      <c r="A282" s="274" t="s">
        <v>799</v>
      </c>
      <c r="B282" s="484">
        <f>SUM(B283:B284)</f>
        <v>0</v>
      </c>
      <c r="C282" s="484">
        <f>SUM(C283:C284)</f>
        <v>0</v>
      </c>
    </row>
    <row r="283" spans="1:3" s="296" customFormat="1" ht="12" hidden="1">
      <c r="A283" s="274" t="s">
        <v>497</v>
      </c>
      <c r="B283" s="484"/>
      <c r="C283" s="484"/>
    </row>
    <row r="284" spans="1:3" s="296" customFormat="1" ht="12" hidden="1">
      <c r="A284" s="276" t="s">
        <v>398</v>
      </c>
      <c r="B284" s="484"/>
      <c r="C284" s="484"/>
    </row>
    <row r="285" spans="1:3" s="296" customFormat="1" ht="12">
      <c r="A285" s="276" t="s">
        <v>938</v>
      </c>
      <c r="B285" s="484">
        <f>SUM(B286:B288)</f>
        <v>0</v>
      </c>
      <c r="C285" s="484">
        <f>SUM(C286:C288)</f>
        <v>0</v>
      </c>
    </row>
    <row r="286" spans="1:3" s="296" customFormat="1" ht="12" hidden="1">
      <c r="A286" s="276" t="s">
        <v>398</v>
      </c>
      <c r="B286" s="484"/>
      <c r="C286" s="484"/>
    </row>
    <row r="287" spans="1:3" s="296" customFormat="1" ht="12" hidden="1">
      <c r="A287" s="276" t="s">
        <v>583</v>
      </c>
      <c r="B287" s="484"/>
      <c r="C287" s="484"/>
    </row>
    <row r="288" spans="1:3" s="296" customFormat="1" ht="12" hidden="1">
      <c r="A288" s="276" t="s">
        <v>353</v>
      </c>
      <c r="B288" s="484"/>
      <c r="C288" s="484"/>
    </row>
    <row r="289" spans="1:3" s="296" customFormat="1" ht="12">
      <c r="A289" s="276" t="s">
        <v>498</v>
      </c>
      <c r="B289" s="484">
        <f>SUM(B290:B292)</f>
        <v>0</v>
      </c>
      <c r="C289" s="484">
        <f>SUM(C290:C292)</f>
        <v>0</v>
      </c>
    </row>
    <row r="290" spans="1:3" s="296" customFormat="1" ht="12" hidden="1">
      <c r="A290" s="276" t="s">
        <v>499</v>
      </c>
      <c r="B290" s="484"/>
      <c r="C290" s="484"/>
    </row>
    <row r="291" spans="1:3" s="296" customFormat="1" ht="12" hidden="1">
      <c r="A291" s="276" t="s">
        <v>398</v>
      </c>
      <c r="B291" s="484"/>
      <c r="C291" s="484"/>
    </row>
    <row r="292" spans="1:3" s="296" customFormat="1" ht="12" hidden="1">
      <c r="A292" s="276" t="s">
        <v>353</v>
      </c>
      <c r="B292" s="484"/>
      <c r="C292" s="484"/>
    </row>
    <row r="293" spans="1:3" s="296" customFormat="1" ht="12">
      <c r="A293" s="277" t="s">
        <v>500</v>
      </c>
      <c r="B293" s="485">
        <f>B281+B282-B285-B289</f>
        <v>0</v>
      </c>
      <c r="C293" s="485">
        <f>C281+C282-C285-C289</f>
        <v>0</v>
      </c>
    </row>
    <row r="294" spans="1:3" s="296" customFormat="1" ht="12">
      <c r="A294" s="278" t="s">
        <v>628</v>
      </c>
      <c r="B294" s="484"/>
      <c r="C294" s="484"/>
    </row>
    <row r="295" spans="1:3" s="296" customFormat="1" ht="12">
      <c r="A295" s="274" t="s">
        <v>496</v>
      </c>
      <c r="B295" s="484">
        <v>0</v>
      </c>
      <c r="C295" s="484">
        <v>0</v>
      </c>
    </row>
    <row r="296" spans="1:3" s="296" customFormat="1" ht="12">
      <c r="A296" s="274" t="s">
        <v>799</v>
      </c>
      <c r="B296" s="484">
        <f>SUM(B297:B298)</f>
        <v>0</v>
      </c>
      <c r="C296" s="484">
        <f>SUM(C297:C298)</f>
        <v>0</v>
      </c>
    </row>
    <row r="297" spans="1:3" s="296" customFormat="1" ht="12" hidden="1">
      <c r="A297" s="274" t="s">
        <v>497</v>
      </c>
      <c r="B297" s="484"/>
      <c r="C297" s="484"/>
    </row>
    <row r="298" spans="1:3" s="296" customFormat="1" ht="12" hidden="1">
      <c r="A298" s="276" t="s">
        <v>398</v>
      </c>
      <c r="B298" s="484"/>
      <c r="C298" s="484"/>
    </row>
    <row r="299" spans="1:3" s="296" customFormat="1" ht="12">
      <c r="A299" s="276" t="s">
        <v>938</v>
      </c>
      <c r="B299" s="484">
        <f>SUM(B300:B302)</f>
        <v>0</v>
      </c>
      <c r="C299" s="484">
        <f>SUM(C300:C302)</f>
        <v>0</v>
      </c>
    </row>
    <row r="300" spans="1:3" s="296" customFormat="1" ht="12" hidden="1">
      <c r="A300" s="276" t="s">
        <v>398</v>
      </c>
      <c r="B300" s="484"/>
      <c r="C300" s="484"/>
    </row>
    <row r="301" spans="1:3" s="296" customFormat="1" ht="12" hidden="1">
      <c r="A301" s="276" t="s">
        <v>583</v>
      </c>
      <c r="B301" s="484"/>
      <c r="C301" s="484"/>
    </row>
    <row r="302" spans="1:3" s="296" customFormat="1" ht="12" hidden="1">
      <c r="A302" s="276" t="s">
        <v>353</v>
      </c>
      <c r="B302" s="484"/>
      <c r="C302" s="484"/>
    </row>
    <row r="303" spans="1:3" s="296" customFormat="1" ht="12">
      <c r="A303" s="276" t="s">
        <v>498</v>
      </c>
      <c r="B303" s="484">
        <f>SUM(B304:B306)</f>
        <v>0</v>
      </c>
      <c r="C303" s="484">
        <f>SUM(C304:C306)</f>
        <v>0</v>
      </c>
    </row>
    <row r="304" spans="1:3" s="296" customFormat="1" ht="12" hidden="1">
      <c r="A304" s="276" t="s">
        <v>499</v>
      </c>
      <c r="B304" s="484"/>
      <c r="C304" s="484"/>
    </row>
    <row r="305" spans="1:3" s="296" customFormat="1" ht="12" hidden="1">
      <c r="A305" s="276" t="s">
        <v>398</v>
      </c>
      <c r="B305" s="484"/>
      <c r="C305" s="484"/>
    </row>
    <row r="306" spans="1:3" s="296" customFormat="1" ht="12" hidden="1">
      <c r="A306" s="276" t="s">
        <v>353</v>
      </c>
      <c r="B306" s="484"/>
      <c r="C306" s="484"/>
    </row>
    <row r="307" spans="1:3" s="296" customFormat="1" ht="12">
      <c r="A307" s="277" t="s">
        <v>500</v>
      </c>
      <c r="B307" s="485">
        <f>B295+B296-B299-B303</f>
        <v>0</v>
      </c>
      <c r="C307" s="485">
        <f>C295+C296-C299-C303</f>
        <v>0</v>
      </c>
    </row>
    <row r="308" spans="1:3" s="296" customFormat="1" ht="12">
      <c r="A308" s="278" t="s">
        <v>503</v>
      </c>
      <c r="B308" s="484"/>
      <c r="C308" s="484"/>
    </row>
    <row r="309" spans="1:3" s="296" customFormat="1" ht="12">
      <c r="A309" s="274" t="s">
        <v>496</v>
      </c>
      <c r="B309" s="484">
        <v>0</v>
      </c>
      <c r="C309" s="484">
        <v>0</v>
      </c>
    </row>
    <row r="310" spans="1:3" s="296" customFormat="1" ht="12">
      <c r="A310" s="274" t="s">
        <v>799</v>
      </c>
      <c r="B310" s="484">
        <f>SUM(B311:B312)</f>
        <v>0</v>
      </c>
      <c r="C310" s="484">
        <f>SUM(C311:C312)</f>
        <v>0</v>
      </c>
    </row>
    <row r="311" spans="1:3" s="296" customFormat="1" ht="12" hidden="1">
      <c r="A311" s="274" t="s">
        <v>497</v>
      </c>
      <c r="B311" s="484"/>
      <c r="C311" s="484"/>
    </row>
    <row r="312" spans="1:3" s="296" customFormat="1" ht="12" hidden="1">
      <c r="A312" s="276" t="s">
        <v>398</v>
      </c>
      <c r="B312" s="484"/>
      <c r="C312" s="484"/>
    </row>
    <row r="313" spans="1:3" s="296" customFormat="1" ht="12">
      <c r="A313" s="276" t="s">
        <v>938</v>
      </c>
      <c r="B313" s="484">
        <f>SUM(B314:B316)</f>
        <v>0</v>
      </c>
      <c r="C313" s="484">
        <f>SUM(C314:C316)</f>
        <v>0</v>
      </c>
    </row>
    <row r="314" spans="1:3" s="296" customFormat="1" ht="12" hidden="1">
      <c r="A314" s="276" t="s">
        <v>398</v>
      </c>
      <c r="B314" s="484"/>
      <c r="C314" s="484"/>
    </row>
    <row r="315" spans="1:3" s="296" customFormat="1" ht="12" hidden="1">
      <c r="A315" s="276" t="s">
        <v>583</v>
      </c>
      <c r="B315" s="484"/>
      <c r="C315" s="484"/>
    </row>
    <row r="316" spans="1:3" s="296" customFormat="1" ht="12" hidden="1">
      <c r="A316" s="276" t="s">
        <v>353</v>
      </c>
      <c r="B316" s="484"/>
      <c r="C316" s="484"/>
    </row>
    <row r="317" spans="1:3" s="296" customFormat="1" ht="12">
      <c r="A317" s="276" t="s">
        <v>498</v>
      </c>
      <c r="B317" s="484">
        <f>SUM(B318:B320)</f>
        <v>0</v>
      </c>
      <c r="C317" s="484">
        <f>SUM(C318:C320)</f>
        <v>0</v>
      </c>
    </row>
    <row r="318" spans="1:3" s="296" customFormat="1" ht="12" hidden="1">
      <c r="A318" s="276" t="s">
        <v>499</v>
      </c>
      <c r="B318" s="484"/>
      <c r="C318" s="484"/>
    </row>
    <row r="319" spans="1:3" s="296" customFormat="1" ht="12" hidden="1">
      <c r="A319" s="276" t="s">
        <v>398</v>
      </c>
      <c r="B319" s="484"/>
      <c r="C319" s="484"/>
    </row>
    <row r="320" spans="1:3" s="296" customFormat="1" ht="12" hidden="1">
      <c r="A320" s="276" t="s">
        <v>353</v>
      </c>
      <c r="B320" s="484"/>
      <c r="C320" s="484"/>
    </row>
    <row r="321" spans="1:3" s="296" customFormat="1" ht="12">
      <c r="A321" s="277" t="s">
        <v>500</v>
      </c>
      <c r="B321" s="485">
        <f>B309+B310-B313-B317</f>
        <v>0</v>
      </c>
      <c r="C321" s="485">
        <f>C309+C310-C313-C317</f>
        <v>0</v>
      </c>
    </row>
    <row r="322" spans="1:3" s="296" customFormat="1" ht="16.5" customHeight="1" thickBot="1">
      <c r="A322" s="136" t="s">
        <v>313</v>
      </c>
      <c r="B322" s="486">
        <f>B279+B293+B307+B321</f>
        <v>0</v>
      </c>
      <c r="C322" s="486">
        <f>C279+C293+C307+C321</f>
        <v>0</v>
      </c>
    </row>
    <row r="323" spans="1:3" s="296" customFormat="1" ht="12">
      <c r="A323" s="487"/>
      <c r="B323" s="482"/>
      <c r="C323" s="482"/>
    </row>
    <row r="324" spans="1:3" s="296" customFormat="1" ht="12">
      <c r="A324" s="487"/>
      <c r="B324" s="482"/>
      <c r="C324" s="482"/>
    </row>
    <row r="325" spans="1:91" s="475" customFormat="1" ht="17.25" thickBot="1">
      <c r="A325" s="472" t="s">
        <v>824</v>
      </c>
      <c r="B325" s="307"/>
      <c r="C325" s="473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  <c r="AD325" s="474"/>
      <c r="AE325" s="474"/>
      <c r="AF325" s="474"/>
      <c r="AG325" s="474"/>
      <c r="AH325" s="474"/>
      <c r="AI325" s="474"/>
      <c r="AJ325" s="474"/>
      <c r="AK325" s="474"/>
      <c r="AL325" s="474"/>
      <c r="AM325" s="474"/>
      <c r="AN325" s="474"/>
      <c r="AO325" s="474"/>
      <c r="AP325" s="474"/>
      <c r="AQ325" s="474"/>
      <c r="AR325" s="474"/>
      <c r="AS325" s="474"/>
      <c r="AT325" s="474"/>
      <c r="AU325" s="474"/>
      <c r="AV325" s="474"/>
      <c r="AW325" s="474"/>
      <c r="AX325" s="474"/>
      <c r="AY325" s="474"/>
      <c r="AZ325" s="474"/>
      <c r="BA325" s="474"/>
      <c r="BB325" s="474"/>
      <c r="BC325" s="474"/>
      <c r="BD325" s="474"/>
      <c r="BE325" s="474"/>
      <c r="BF325" s="474"/>
      <c r="BG325" s="474"/>
      <c r="BH325" s="474"/>
      <c r="BI325" s="474"/>
      <c r="BJ325" s="474"/>
      <c r="BK325" s="474"/>
      <c r="BL325" s="474"/>
      <c r="BM325" s="474"/>
      <c r="BN325" s="474"/>
      <c r="BO325" s="474"/>
      <c r="BP325" s="474"/>
      <c r="BQ325" s="474"/>
      <c r="BR325" s="474"/>
      <c r="BS325" s="474"/>
      <c r="BT325" s="474"/>
      <c r="BU325" s="474"/>
      <c r="BV325" s="474"/>
      <c r="BW325" s="474"/>
      <c r="BX325" s="474"/>
      <c r="BY325" s="474"/>
      <c r="BZ325" s="474"/>
      <c r="CA325" s="474"/>
      <c r="CB325" s="474"/>
      <c r="CC325" s="474"/>
      <c r="CD325" s="474"/>
      <c r="CE325" s="474"/>
      <c r="CF325" s="474"/>
      <c r="CG325" s="474"/>
      <c r="CH325" s="474"/>
      <c r="CI325" s="474"/>
      <c r="CJ325" s="474"/>
      <c r="CK325" s="474"/>
      <c r="CL325" s="474"/>
      <c r="CM325" s="474"/>
    </row>
    <row r="326" spans="1:91" s="475" customFormat="1" ht="15" customHeight="1">
      <c r="A326" s="284" t="s">
        <v>315</v>
      </c>
      <c r="B326" s="302" t="e">
        <f>B10</f>
        <v>#REF!</v>
      </c>
      <c r="C326" s="302" t="e">
        <f>C10</f>
        <v>#REF!</v>
      </c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  <c r="AD326" s="474"/>
      <c r="AE326" s="474"/>
      <c r="AF326" s="474"/>
      <c r="AG326" s="474"/>
      <c r="AH326" s="474"/>
      <c r="AI326" s="474"/>
      <c r="AJ326" s="474"/>
      <c r="AK326" s="474"/>
      <c r="AL326" s="474"/>
      <c r="AM326" s="474"/>
      <c r="AN326" s="474"/>
      <c r="AO326" s="474"/>
      <c r="AP326" s="474"/>
      <c r="AQ326" s="474"/>
      <c r="AR326" s="474"/>
      <c r="AS326" s="474"/>
      <c r="AT326" s="474"/>
      <c r="AU326" s="474"/>
      <c r="AV326" s="474"/>
      <c r="AW326" s="474"/>
      <c r="AX326" s="474"/>
      <c r="AY326" s="474"/>
      <c r="AZ326" s="474"/>
      <c r="BA326" s="474"/>
      <c r="BB326" s="474"/>
      <c r="BC326" s="474"/>
      <c r="BD326" s="474"/>
      <c r="BE326" s="474"/>
      <c r="BF326" s="474"/>
      <c r="BG326" s="474"/>
      <c r="BH326" s="474"/>
      <c r="BI326" s="474"/>
      <c r="BJ326" s="474"/>
      <c r="BK326" s="474"/>
      <c r="BL326" s="474"/>
      <c r="BM326" s="474"/>
      <c r="BN326" s="474"/>
      <c r="BO326" s="474"/>
      <c r="BP326" s="474"/>
      <c r="BQ326" s="474"/>
      <c r="BR326" s="474"/>
      <c r="BS326" s="474"/>
      <c r="BT326" s="474"/>
      <c r="BU326" s="474"/>
      <c r="BV326" s="474"/>
      <c r="BW326" s="474"/>
      <c r="BX326" s="474"/>
      <c r="BY326" s="474"/>
      <c r="BZ326" s="474"/>
      <c r="CA326" s="474"/>
      <c r="CB326" s="474"/>
      <c r="CC326" s="474"/>
      <c r="CD326" s="474"/>
      <c r="CE326" s="474"/>
      <c r="CF326" s="474"/>
      <c r="CG326" s="474"/>
      <c r="CH326" s="474"/>
      <c r="CI326" s="474"/>
      <c r="CJ326" s="474"/>
      <c r="CK326" s="474"/>
      <c r="CL326" s="474"/>
      <c r="CM326" s="474"/>
    </row>
    <row r="327" spans="1:3" s="296" customFormat="1" ht="12">
      <c r="A327" s="488" t="s">
        <v>316</v>
      </c>
      <c r="B327" s="489">
        <f>B328+B329+B330+B332+B333</f>
        <v>0</v>
      </c>
      <c r="C327" s="489">
        <f>C328+C329+C330+C332+C333</f>
        <v>0</v>
      </c>
    </row>
    <row r="328" spans="1:3" s="296" customFormat="1" ht="12" hidden="1">
      <c r="A328" s="490" t="s">
        <v>317</v>
      </c>
      <c r="B328" s="491"/>
      <c r="C328" s="491"/>
    </row>
    <row r="329" spans="1:3" s="296" customFormat="1" ht="12" hidden="1">
      <c r="A329" s="490" t="s">
        <v>319</v>
      </c>
      <c r="B329" s="491"/>
      <c r="C329" s="491"/>
    </row>
    <row r="330" spans="1:3" s="296" customFormat="1" ht="12" hidden="1">
      <c r="A330" s="490" t="s">
        <v>321</v>
      </c>
      <c r="B330" s="491"/>
      <c r="C330" s="491"/>
    </row>
    <row r="331" spans="1:3" s="296" customFormat="1" ht="12" hidden="1">
      <c r="A331" s="490" t="s">
        <v>318</v>
      </c>
      <c r="B331" s="491"/>
      <c r="C331" s="491"/>
    </row>
    <row r="332" spans="1:3" s="296" customFormat="1" ht="12" hidden="1">
      <c r="A332" s="490" t="s">
        <v>800</v>
      </c>
      <c r="B332" s="491"/>
      <c r="C332" s="491"/>
    </row>
    <row r="333" spans="1:3" s="296" customFormat="1" ht="12" hidden="1">
      <c r="A333" s="490" t="s">
        <v>320</v>
      </c>
      <c r="B333" s="491"/>
      <c r="C333" s="491"/>
    </row>
    <row r="334" spans="1:3" s="296" customFormat="1" ht="12" hidden="1">
      <c r="A334" s="490" t="s">
        <v>318</v>
      </c>
      <c r="B334" s="491"/>
      <c r="C334" s="491"/>
    </row>
    <row r="335" spans="1:3" s="296" customFormat="1" ht="12">
      <c r="A335" s="488" t="s">
        <v>801</v>
      </c>
      <c r="B335" s="489">
        <f>B336+B337+B338+B340+B341</f>
        <v>0</v>
      </c>
      <c r="C335" s="489">
        <f>C336+C337+C338+C340+C341</f>
        <v>0</v>
      </c>
    </row>
    <row r="336" spans="1:3" s="296" customFormat="1" ht="12" hidden="1">
      <c r="A336" s="490" t="s">
        <v>317</v>
      </c>
      <c r="B336" s="491"/>
      <c r="C336" s="491"/>
    </row>
    <row r="337" spans="1:3" s="296" customFormat="1" ht="12" hidden="1">
      <c r="A337" s="490" t="s">
        <v>319</v>
      </c>
      <c r="B337" s="491"/>
      <c r="C337" s="491"/>
    </row>
    <row r="338" spans="1:3" s="296" customFormat="1" ht="12" hidden="1">
      <c r="A338" s="490" t="s">
        <v>321</v>
      </c>
      <c r="B338" s="491"/>
      <c r="C338" s="491"/>
    </row>
    <row r="339" spans="1:3" s="296" customFormat="1" ht="12" hidden="1">
      <c r="A339" s="490" t="s">
        <v>318</v>
      </c>
      <c r="B339" s="491"/>
      <c r="C339" s="491"/>
    </row>
    <row r="340" spans="1:3" s="296" customFormat="1" ht="12" hidden="1">
      <c r="A340" s="490" t="s">
        <v>800</v>
      </c>
      <c r="B340" s="491"/>
      <c r="C340" s="491"/>
    </row>
    <row r="341" spans="1:3" s="296" customFormat="1" ht="12" hidden="1">
      <c r="A341" s="490" t="s">
        <v>320</v>
      </c>
      <c r="B341" s="491"/>
      <c r="C341" s="491"/>
    </row>
    <row r="342" spans="1:3" s="296" customFormat="1" ht="12" hidden="1">
      <c r="A342" s="490" t="s">
        <v>318</v>
      </c>
      <c r="B342" s="491"/>
      <c r="C342" s="491"/>
    </row>
    <row r="343" spans="1:3" s="296" customFormat="1" ht="12">
      <c r="A343" s="488" t="s">
        <v>803</v>
      </c>
      <c r="B343" s="489">
        <f>B344+B345+B346+B348+B349</f>
        <v>0</v>
      </c>
      <c r="C343" s="489">
        <f>C344+C345+C346+C348+C349</f>
        <v>0</v>
      </c>
    </row>
    <row r="344" spans="1:3" s="296" customFormat="1" ht="12" hidden="1">
      <c r="A344" s="490" t="s">
        <v>317</v>
      </c>
      <c r="B344" s="491"/>
      <c r="C344" s="491"/>
    </row>
    <row r="345" spans="1:3" s="296" customFormat="1" ht="12" hidden="1">
      <c r="A345" s="490" t="s">
        <v>319</v>
      </c>
      <c r="B345" s="491"/>
      <c r="C345" s="491"/>
    </row>
    <row r="346" spans="1:3" s="296" customFormat="1" ht="12" hidden="1">
      <c r="A346" s="490" t="s">
        <v>321</v>
      </c>
      <c r="B346" s="491"/>
      <c r="C346" s="491"/>
    </row>
    <row r="347" spans="1:3" s="296" customFormat="1" ht="12" hidden="1">
      <c r="A347" s="490" t="s">
        <v>318</v>
      </c>
      <c r="B347" s="491"/>
      <c r="C347" s="491"/>
    </row>
    <row r="348" spans="1:3" s="296" customFormat="1" ht="12" hidden="1">
      <c r="A348" s="490" t="s">
        <v>800</v>
      </c>
      <c r="B348" s="491"/>
      <c r="C348" s="491"/>
    </row>
    <row r="349" spans="1:3" s="296" customFormat="1" ht="12" hidden="1">
      <c r="A349" s="490" t="s">
        <v>320</v>
      </c>
      <c r="B349" s="491"/>
      <c r="C349" s="491"/>
    </row>
    <row r="350" spans="1:3" s="296" customFormat="1" ht="12" hidden="1">
      <c r="A350" s="490" t="s">
        <v>318</v>
      </c>
      <c r="B350" s="491"/>
      <c r="C350" s="491"/>
    </row>
    <row r="351" spans="1:3" s="296" customFormat="1" ht="12">
      <c r="A351" s="488" t="s">
        <v>804</v>
      </c>
      <c r="B351" s="489">
        <f>B352+B353+B354+B356+B357</f>
        <v>0</v>
      </c>
      <c r="C351" s="489">
        <f>C352+C353+C354+C356+C357</f>
        <v>0</v>
      </c>
    </row>
    <row r="352" spans="1:3" s="296" customFormat="1" ht="12" hidden="1">
      <c r="A352" s="490" t="s">
        <v>317</v>
      </c>
      <c r="B352" s="491"/>
      <c r="C352" s="491"/>
    </row>
    <row r="353" spans="1:3" s="296" customFormat="1" ht="12" hidden="1">
      <c r="A353" s="490" t="s">
        <v>319</v>
      </c>
      <c r="B353" s="491"/>
      <c r="C353" s="491"/>
    </row>
    <row r="354" spans="1:3" s="296" customFormat="1" ht="12" hidden="1">
      <c r="A354" s="490" t="s">
        <v>321</v>
      </c>
      <c r="B354" s="491"/>
      <c r="C354" s="491"/>
    </row>
    <row r="355" spans="1:3" s="296" customFormat="1" ht="12" hidden="1">
      <c r="A355" s="490" t="s">
        <v>318</v>
      </c>
      <c r="B355" s="491"/>
      <c r="C355" s="491"/>
    </row>
    <row r="356" spans="1:3" s="296" customFormat="1" ht="12" hidden="1">
      <c r="A356" s="490" t="s">
        <v>800</v>
      </c>
      <c r="B356" s="491"/>
      <c r="C356" s="491"/>
    </row>
    <row r="357" spans="1:3" s="296" customFormat="1" ht="12" hidden="1">
      <c r="A357" s="490" t="s">
        <v>320</v>
      </c>
      <c r="B357" s="491"/>
      <c r="C357" s="491"/>
    </row>
    <row r="358" spans="1:3" s="296" customFormat="1" ht="12" hidden="1">
      <c r="A358" s="490" t="s">
        <v>318</v>
      </c>
      <c r="B358" s="491"/>
      <c r="C358" s="491"/>
    </row>
    <row r="359" spans="1:3" s="296" customFormat="1" ht="12">
      <c r="A359" s="488" t="s">
        <v>528</v>
      </c>
      <c r="B359" s="489">
        <f>B360+B361+B362+B364+B365</f>
        <v>0</v>
      </c>
      <c r="C359" s="489">
        <f>C360+C361+C362+C364+C365</f>
        <v>0</v>
      </c>
    </row>
    <row r="360" spans="1:3" s="296" customFormat="1" ht="12" hidden="1">
      <c r="A360" s="490" t="s">
        <v>317</v>
      </c>
      <c r="B360" s="491"/>
      <c r="C360" s="491"/>
    </row>
    <row r="361" spans="1:3" s="296" customFormat="1" ht="12" hidden="1">
      <c r="A361" s="490" t="s">
        <v>319</v>
      </c>
      <c r="B361" s="491"/>
      <c r="C361" s="491"/>
    </row>
    <row r="362" spans="1:3" s="296" customFormat="1" ht="12" hidden="1">
      <c r="A362" s="490" t="s">
        <v>321</v>
      </c>
      <c r="B362" s="491"/>
      <c r="C362" s="491"/>
    </row>
    <row r="363" spans="1:3" s="296" customFormat="1" ht="12" hidden="1">
      <c r="A363" s="490" t="s">
        <v>318</v>
      </c>
      <c r="B363" s="491"/>
      <c r="C363" s="491"/>
    </row>
    <row r="364" spans="1:3" s="296" customFormat="1" ht="12" hidden="1">
      <c r="A364" s="490" t="s">
        <v>800</v>
      </c>
      <c r="B364" s="491"/>
      <c r="C364" s="491"/>
    </row>
    <row r="365" spans="1:3" s="296" customFormat="1" ht="12" hidden="1">
      <c r="A365" s="490" t="s">
        <v>320</v>
      </c>
      <c r="B365" s="491"/>
      <c r="C365" s="491"/>
    </row>
    <row r="366" spans="1:3" s="296" customFormat="1" ht="12" hidden="1">
      <c r="A366" s="490" t="s">
        <v>318</v>
      </c>
      <c r="B366" s="491"/>
      <c r="C366" s="491"/>
    </row>
    <row r="367" spans="1:3" s="296" customFormat="1" ht="12">
      <c r="A367" s="488" t="s">
        <v>529</v>
      </c>
      <c r="B367" s="489">
        <f>B368+B369+B370+B372+B373</f>
        <v>0</v>
      </c>
      <c r="C367" s="489">
        <f>C368+C369+C370+C372+C373</f>
        <v>17743</v>
      </c>
    </row>
    <row r="368" spans="1:3" s="296" customFormat="1" ht="12">
      <c r="A368" s="490" t="s">
        <v>317</v>
      </c>
      <c r="B368" s="491"/>
      <c r="C368" s="491">
        <v>17743</v>
      </c>
    </row>
    <row r="369" spans="1:3" s="296" customFormat="1" ht="12" hidden="1">
      <c r="A369" s="490" t="s">
        <v>319</v>
      </c>
      <c r="B369" s="491"/>
      <c r="C369" s="491"/>
    </row>
    <row r="370" spans="1:3" s="296" customFormat="1" ht="12" hidden="1">
      <c r="A370" s="490" t="s">
        <v>321</v>
      </c>
      <c r="B370" s="491"/>
      <c r="C370" s="491"/>
    </row>
    <row r="371" spans="1:3" s="296" customFormat="1" ht="12" hidden="1">
      <c r="A371" s="490" t="s">
        <v>318</v>
      </c>
      <c r="B371" s="491"/>
      <c r="C371" s="491"/>
    </row>
    <row r="372" spans="1:3" s="296" customFormat="1" ht="12" hidden="1">
      <c r="A372" s="490" t="s">
        <v>800</v>
      </c>
      <c r="B372" s="491"/>
      <c r="C372" s="491"/>
    </row>
    <row r="373" spans="1:3" s="296" customFormat="1" ht="12" hidden="1">
      <c r="A373" s="490" t="s">
        <v>320</v>
      </c>
      <c r="B373" s="491"/>
      <c r="C373" s="491"/>
    </row>
    <row r="374" spans="1:3" s="296" customFormat="1" ht="12" hidden="1">
      <c r="A374" s="490" t="s">
        <v>318</v>
      </c>
      <c r="B374" s="491"/>
      <c r="C374" s="491"/>
    </row>
    <row r="375" spans="1:3" s="296" customFormat="1" ht="15" customHeight="1" thickBot="1">
      <c r="A375" s="492" t="s">
        <v>530</v>
      </c>
      <c r="B375" s="493">
        <f>B327+B335+B343+B351+B359+B367</f>
        <v>0</v>
      </c>
      <c r="C375" s="493">
        <f>C327+C335+C343+C351+C359+C367</f>
        <v>17743</v>
      </c>
    </row>
    <row r="376" spans="1:3" s="296" customFormat="1" ht="15" customHeight="1">
      <c r="A376" s="494"/>
      <c r="B376" s="495"/>
      <c r="C376" s="495"/>
    </row>
    <row r="377" spans="1:3" s="296" customFormat="1" ht="17.25" thickBot="1">
      <c r="A377" s="496" t="s">
        <v>825</v>
      </c>
      <c r="B377" s="497"/>
      <c r="C377" s="497"/>
    </row>
    <row r="378" spans="1:3" s="296" customFormat="1" ht="24">
      <c r="A378" s="245" t="s">
        <v>570</v>
      </c>
      <c r="B378" s="302" t="e">
        <f>B10</f>
        <v>#REF!</v>
      </c>
      <c r="C378" s="302" t="e">
        <f>C10</f>
        <v>#REF!</v>
      </c>
    </row>
    <row r="379" spans="1:3" s="296" customFormat="1" ht="12">
      <c r="A379" s="266" t="s">
        <v>571</v>
      </c>
      <c r="B379" s="569"/>
      <c r="C379" s="569">
        <v>5833</v>
      </c>
    </row>
    <row r="380" spans="1:3" s="296" customFormat="1" ht="12">
      <c r="A380" s="266" t="s">
        <v>572</v>
      </c>
      <c r="B380" s="569"/>
      <c r="C380" s="569">
        <v>5833</v>
      </c>
    </row>
    <row r="381" spans="1:3" s="296" customFormat="1" ht="12">
      <c r="A381" s="279" t="s">
        <v>573</v>
      </c>
      <c r="B381" s="569"/>
      <c r="C381" s="569">
        <v>6077</v>
      </c>
    </row>
    <row r="382" spans="1:3" s="296" customFormat="1" ht="12.75" thickBot="1">
      <c r="A382" s="268" t="s">
        <v>530</v>
      </c>
      <c r="B382" s="338">
        <f>SUM(B379:B381)</f>
        <v>0</v>
      </c>
      <c r="C382" s="338">
        <f>SUM(C379:C381)</f>
        <v>17743</v>
      </c>
    </row>
    <row r="383" spans="2:3" s="296" customFormat="1" ht="12" hidden="1">
      <c r="B383" s="498" t="str">
        <f>IF(B382=B375,"OK.","BŁĄD")</f>
        <v>OK.</v>
      </c>
      <c r="C383" s="498" t="str">
        <f>IF(C382=C375,"OK.","BŁĄD")</f>
        <v>OK.</v>
      </c>
    </row>
    <row r="384" spans="2:3" s="296" customFormat="1" ht="12">
      <c r="B384" s="482"/>
      <c r="C384" s="482"/>
    </row>
    <row r="385" spans="1:3" s="296" customFormat="1" ht="17.25" thickBot="1">
      <c r="A385" s="496" t="s">
        <v>826</v>
      </c>
      <c r="B385" s="497"/>
      <c r="C385" s="497"/>
    </row>
    <row r="386" spans="1:3" s="296" customFormat="1" ht="24">
      <c r="A386" s="245" t="s">
        <v>788</v>
      </c>
      <c r="B386" s="302" t="e">
        <f>B10</f>
        <v>#REF!</v>
      </c>
      <c r="C386" s="302" t="e">
        <f>C10</f>
        <v>#REF!</v>
      </c>
    </row>
    <row r="387" spans="1:3" s="296" customFormat="1" ht="12">
      <c r="A387" s="264" t="s">
        <v>610</v>
      </c>
      <c r="B387" s="570">
        <v>0</v>
      </c>
      <c r="C387" s="570">
        <v>0</v>
      </c>
    </row>
    <row r="388" spans="1:3" s="296" customFormat="1" ht="12.75" customHeight="1">
      <c r="A388" s="267" t="s">
        <v>246</v>
      </c>
      <c r="B388" s="571">
        <f>B390+B392+B394+B395</f>
        <v>0</v>
      </c>
      <c r="C388" s="571">
        <f>C390+C392+C394+C395</f>
        <v>17743</v>
      </c>
    </row>
    <row r="389" spans="1:3" s="296" customFormat="1" ht="12">
      <c r="A389" s="499" t="s">
        <v>481</v>
      </c>
      <c r="B389" s="572">
        <v>0</v>
      </c>
      <c r="C389" s="572">
        <v>0</v>
      </c>
    </row>
    <row r="390" spans="1:3" s="296" customFormat="1" ht="12">
      <c r="A390" s="499" t="s">
        <v>47</v>
      </c>
      <c r="B390" s="569">
        <v>0</v>
      </c>
      <c r="C390" s="569">
        <v>0</v>
      </c>
    </row>
    <row r="391" spans="1:3" s="296" customFormat="1" ht="12">
      <c r="A391" s="499" t="s">
        <v>755</v>
      </c>
      <c r="B391" s="572"/>
      <c r="C391" s="572">
        <v>4340</v>
      </c>
    </row>
    <row r="392" spans="1:3" s="296" customFormat="1" ht="12">
      <c r="A392" s="499" t="s">
        <v>47</v>
      </c>
      <c r="B392" s="572"/>
      <c r="C392" s="572">
        <v>17743</v>
      </c>
    </row>
    <row r="393" spans="1:3" s="296" customFormat="1" ht="12" hidden="1">
      <c r="A393" s="499" t="s">
        <v>923</v>
      </c>
      <c r="B393" s="572"/>
      <c r="C393" s="572"/>
    </row>
    <row r="394" spans="1:3" s="296" customFormat="1" ht="12" hidden="1">
      <c r="A394" s="499" t="s">
        <v>47</v>
      </c>
      <c r="B394" s="572"/>
      <c r="C394" s="572"/>
    </row>
    <row r="395" spans="1:3" s="296" customFormat="1" ht="12" hidden="1">
      <c r="A395" s="499" t="s">
        <v>64</v>
      </c>
      <c r="B395" s="572"/>
      <c r="C395" s="572"/>
    </row>
    <row r="396" spans="1:3" s="296" customFormat="1" ht="13.5" thickBot="1">
      <c r="A396" s="582" t="s">
        <v>530</v>
      </c>
      <c r="B396" s="338">
        <f>B387+B388</f>
        <v>0</v>
      </c>
      <c r="C396" s="338">
        <f>C387+C388</f>
        <v>17743</v>
      </c>
    </row>
    <row r="397" spans="2:3" s="296" customFormat="1" ht="12" hidden="1">
      <c r="B397" s="498" t="str">
        <f>IF(B396=B375,"OK.","BŁĄD")</f>
        <v>OK.</v>
      </c>
      <c r="C397" s="498" t="str">
        <f>IF(C396=C375,"OK.","BŁĄD")</f>
        <v>OK.</v>
      </c>
    </row>
    <row r="398" spans="2:3" s="296" customFormat="1" ht="12">
      <c r="B398" s="482"/>
      <c r="C398" s="482"/>
    </row>
    <row r="399" spans="1:3" s="296" customFormat="1" ht="12.75">
      <c r="A399" s="568" t="s">
        <v>282</v>
      </c>
      <c r="B399" s="482"/>
      <c r="C399" s="482"/>
    </row>
    <row r="400" spans="2:3" s="296" customFormat="1" ht="12">
      <c r="B400" s="482"/>
      <c r="C400" s="482"/>
    </row>
    <row r="401" spans="2:3" s="296" customFormat="1" ht="12">
      <c r="B401" s="482"/>
      <c r="C401" s="482"/>
    </row>
    <row r="402" spans="1:91" s="475" customFormat="1" ht="17.25" thickBot="1">
      <c r="A402" s="472" t="s">
        <v>367</v>
      </c>
      <c r="B402" s="307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4"/>
      <c r="P402" s="474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  <c r="AD402" s="474"/>
      <c r="AE402" s="474"/>
      <c r="AF402" s="474"/>
      <c r="AG402" s="474"/>
      <c r="AH402" s="474"/>
      <c r="AI402" s="474"/>
      <c r="AJ402" s="474"/>
      <c r="AK402" s="474"/>
      <c r="AL402" s="474"/>
      <c r="AM402" s="474"/>
      <c r="AN402" s="474"/>
      <c r="AO402" s="474"/>
      <c r="AP402" s="474"/>
      <c r="AQ402" s="474"/>
      <c r="AR402" s="474"/>
      <c r="AS402" s="474"/>
      <c r="AT402" s="474"/>
      <c r="AU402" s="474"/>
      <c r="AV402" s="474"/>
      <c r="AW402" s="474"/>
      <c r="AX402" s="474"/>
      <c r="AY402" s="474"/>
      <c r="AZ402" s="474"/>
      <c r="BA402" s="474"/>
      <c r="BB402" s="474"/>
      <c r="BC402" s="474"/>
      <c r="BD402" s="474"/>
      <c r="BE402" s="474"/>
      <c r="BF402" s="474"/>
      <c r="BG402" s="474"/>
      <c r="BH402" s="474"/>
      <c r="BI402" s="474"/>
      <c r="BJ402" s="474"/>
      <c r="BK402" s="474"/>
      <c r="BL402" s="474"/>
      <c r="BM402" s="474"/>
      <c r="BN402" s="474"/>
      <c r="BO402" s="474"/>
      <c r="BP402" s="474"/>
      <c r="BQ402" s="474"/>
      <c r="BR402" s="474"/>
      <c r="BS402" s="474"/>
      <c r="BT402" s="474"/>
      <c r="BU402" s="474"/>
      <c r="BV402" s="474"/>
      <c r="BW402" s="474"/>
      <c r="BX402" s="474"/>
      <c r="BY402" s="474"/>
      <c r="BZ402" s="474"/>
      <c r="CA402" s="474"/>
      <c r="CB402" s="474"/>
      <c r="CC402" s="474"/>
      <c r="CD402" s="474"/>
      <c r="CE402" s="474"/>
      <c r="CF402" s="474"/>
      <c r="CG402" s="474"/>
      <c r="CH402" s="474"/>
      <c r="CI402" s="474"/>
      <c r="CJ402" s="474"/>
      <c r="CK402" s="474"/>
      <c r="CL402" s="474"/>
      <c r="CM402" s="474"/>
    </row>
    <row r="403" spans="1:91" s="475" customFormat="1" ht="15" customHeight="1">
      <c r="A403" s="284" t="s">
        <v>531</v>
      </c>
      <c r="B403" s="302" t="e">
        <f>B10</f>
        <v>#REF!</v>
      </c>
      <c r="C403" s="302" t="e">
        <f>C10</f>
        <v>#REF!</v>
      </c>
      <c r="D403" s="474"/>
      <c r="E403" s="474"/>
      <c r="F403" s="474"/>
      <c r="G403" s="474"/>
      <c r="H403" s="474"/>
      <c r="I403" s="474"/>
      <c r="J403" s="474"/>
      <c r="K403" s="474"/>
      <c r="L403" s="474"/>
      <c r="M403" s="474"/>
      <c r="N403" s="474"/>
      <c r="O403" s="474"/>
      <c r="P403" s="474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  <c r="AD403" s="474"/>
      <c r="AE403" s="474"/>
      <c r="AF403" s="474"/>
      <c r="AG403" s="474"/>
      <c r="AH403" s="474"/>
      <c r="AI403" s="474"/>
      <c r="AJ403" s="474"/>
      <c r="AK403" s="474"/>
      <c r="AL403" s="474"/>
      <c r="AM403" s="474"/>
      <c r="AN403" s="474"/>
      <c r="AO403" s="474"/>
      <c r="AP403" s="474"/>
      <c r="AQ403" s="474"/>
      <c r="AR403" s="474"/>
      <c r="AS403" s="474"/>
      <c r="AT403" s="474"/>
      <c r="AU403" s="474"/>
      <c r="AV403" s="474"/>
      <c r="AW403" s="474"/>
      <c r="AX403" s="474"/>
      <c r="AY403" s="474"/>
      <c r="AZ403" s="474"/>
      <c r="BA403" s="474"/>
      <c r="BB403" s="474"/>
      <c r="BC403" s="474"/>
      <c r="BD403" s="474"/>
      <c r="BE403" s="474"/>
      <c r="BF403" s="474"/>
      <c r="BG403" s="474"/>
      <c r="BH403" s="474"/>
      <c r="BI403" s="474"/>
      <c r="BJ403" s="474"/>
      <c r="BK403" s="474"/>
      <c r="BL403" s="474"/>
      <c r="BM403" s="474"/>
      <c r="BN403" s="474"/>
      <c r="BO403" s="474"/>
      <c r="BP403" s="474"/>
      <c r="BQ403" s="474"/>
      <c r="BR403" s="474"/>
      <c r="BS403" s="474"/>
      <c r="BT403" s="474"/>
      <c r="BU403" s="474"/>
      <c r="BV403" s="474"/>
      <c r="BW403" s="474"/>
      <c r="BX403" s="474"/>
      <c r="BY403" s="474"/>
      <c r="BZ403" s="474"/>
      <c r="CA403" s="474"/>
      <c r="CB403" s="474"/>
      <c r="CC403" s="474"/>
      <c r="CD403" s="474"/>
      <c r="CE403" s="474"/>
      <c r="CF403" s="474"/>
      <c r="CG403" s="474"/>
      <c r="CH403" s="474"/>
      <c r="CI403" s="474"/>
      <c r="CJ403" s="474"/>
      <c r="CK403" s="474"/>
      <c r="CL403" s="474"/>
      <c r="CM403" s="474"/>
    </row>
    <row r="404" spans="1:3" s="296" customFormat="1" ht="12">
      <c r="A404" s="488" t="s">
        <v>316</v>
      </c>
      <c r="B404" s="489">
        <f>B405+B407+B408+B409+B411+B414+B415+B416</f>
        <v>0</v>
      </c>
      <c r="C404" s="489">
        <f>C405+C407+C408+C409+C411+C414+C415+C416</f>
        <v>170626</v>
      </c>
    </row>
    <row r="405" spans="1:3" s="296" customFormat="1" ht="12" hidden="1">
      <c r="A405" s="490" t="s">
        <v>317</v>
      </c>
      <c r="B405" s="491"/>
      <c r="C405" s="491"/>
    </row>
    <row r="406" spans="1:3" s="296" customFormat="1" ht="12" hidden="1">
      <c r="A406" s="490" t="s">
        <v>532</v>
      </c>
      <c r="B406" s="491"/>
      <c r="C406" s="491"/>
    </row>
    <row r="407" spans="1:3" s="296" customFormat="1" ht="12">
      <c r="A407" s="490" t="s">
        <v>319</v>
      </c>
      <c r="B407" s="491"/>
      <c r="C407" s="491">
        <f>71208-1232+200</f>
        <v>70176</v>
      </c>
    </row>
    <row r="408" spans="1:3" s="296" customFormat="1" ht="12" hidden="1">
      <c r="A408" s="490" t="s">
        <v>533</v>
      </c>
      <c r="B408" s="491"/>
      <c r="C408" s="491"/>
    </row>
    <row r="409" spans="1:3" s="296" customFormat="1" ht="12" hidden="1">
      <c r="A409" s="490" t="s">
        <v>321</v>
      </c>
      <c r="B409" s="491"/>
      <c r="C409" s="491"/>
    </row>
    <row r="410" spans="1:3" s="296" customFormat="1" ht="12" hidden="1">
      <c r="A410" s="490" t="s">
        <v>318</v>
      </c>
      <c r="B410" s="491"/>
      <c r="C410" s="491"/>
    </row>
    <row r="411" spans="1:3" s="296" customFormat="1" ht="12">
      <c r="A411" s="490" t="s">
        <v>534</v>
      </c>
      <c r="B411" s="491">
        <f>SUM(B412:B413)</f>
        <v>0</v>
      </c>
      <c r="C411" s="491">
        <f>SUM(C412:C413)</f>
        <v>100450</v>
      </c>
    </row>
    <row r="412" spans="1:3" s="296" customFormat="1" ht="12">
      <c r="A412" s="490" t="s">
        <v>356</v>
      </c>
      <c r="B412" s="491"/>
      <c r="C412" s="491">
        <f>100221+228-3084+1</f>
        <v>97366</v>
      </c>
    </row>
    <row r="413" spans="1:3" s="296" customFormat="1" ht="12">
      <c r="A413" s="490" t="s">
        <v>357</v>
      </c>
      <c r="B413" s="491"/>
      <c r="C413" s="491">
        <f>228-228+3084</f>
        <v>3084</v>
      </c>
    </row>
    <row r="414" spans="1:3" s="296" customFormat="1" ht="12" hidden="1">
      <c r="A414" s="490" t="s">
        <v>535</v>
      </c>
      <c r="B414" s="491"/>
      <c r="C414" s="491"/>
    </row>
    <row r="415" spans="1:3" s="296" customFormat="1" ht="12" hidden="1">
      <c r="A415" s="490" t="s">
        <v>536</v>
      </c>
      <c r="B415" s="491"/>
      <c r="C415" s="491"/>
    </row>
    <row r="416" spans="1:3" s="296" customFormat="1" ht="12" hidden="1">
      <c r="A416" s="490" t="s">
        <v>320</v>
      </c>
      <c r="B416" s="491"/>
      <c r="C416" s="491"/>
    </row>
    <row r="417" spans="1:3" s="296" customFormat="1" ht="12" hidden="1">
      <c r="A417" s="490" t="s">
        <v>318</v>
      </c>
      <c r="B417" s="491"/>
      <c r="C417" s="491"/>
    </row>
    <row r="418" spans="1:3" s="296" customFormat="1" ht="12">
      <c r="A418" s="488" t="s">
        <v>801</v>
      </c>
      <c r="B418" s="489">
        <f>B419+B421+B422+B423+B425+B428+B429+B430</f>
        <v>0</v>
      </c>
      <c r="C418" s="489">
        <f>C419+C421+C422+C423+C425+C428+C429+C430</f>
        <v>0</v>
      </c>
    </row>
    <row r="419" spans="1:3" s="296" customFormat="1" ht="12" hidden="1">
      <c r="A419" s="490" t="s">
        <v>317</v>
      </c>
      <c r="B419" s="491"/>
      <c r="C419" s="491"/>
    </row>
    <row r="420" spans="1:3" s="296" customFormat="1" ht="12" hidden="1">
      <c r="A420" s="490" t="s">
        <v>532</v>
      </c>
      <c r="B420" s="491"/>
      <c r="C420" s="491"/>
    </row>
    <row r="421" spans="1:3" s="296" customFormat="1" ht="12" hidden="1">
      <c r="A421" s="490" t="s">
        <v>319</v>
      </c>
      <c r="B421" s="491"/>
      <c r="C421" s="491"/>
    </row>
    <row r="422" spans="1:3" s="296" customFormat="1" ht="12" hidden="1">
      <c r="A422" s="490" t="s">
        <v>533</v>
      </c>
      <c r="B422" s="491"/>
      <c r="C422" s="491"/>
    </row>
    <row r="423" spans="1:3" s="296" customFormat="1" ht="12" hidden="1">
      <c r="A423" s="490" t="s">
        <v>321</v>
      </c>
      <c r="B423" s="491"/>
      <c r="C423" s="491"/>
    </row>
    <row r="424" spans="1:3" s="296" customFormat="1" ht="12" hidden="1">
      <c r="A424" s="490" t="s">
        <v>318</v>
      </c>
      <c r="B424" s="491"/>
      <c r="C424" s="491"/>
    </row>
    <row r="425" spans="1:3" s="296" customFormat="1" ht="12" hidden="1">
      <c r="A425" s="490" t="s">
        <v>534</v>
      </c>
      <c r="B425" s="491">
        <f>SUM(B426:B427)</f>
        <v>0</v>
      </c>
      <c r="C425" s="491">
        <f>SUM(C426:C427)</f>
        <v>0</v>
      </c>
    </row>
    <row r="426" spans="1:3" s="296" customFormat="1" ht="12" hidden="1">
      <c r="A426" s="490" t="s">
        <v>356</v>
      </c>
      <c r="B426" s="491"/>
      <c r="C426" s="491"/>
    </row>
    <row r="427" spans="1:3" s="296" customFormat="1" ht="12" hidden="1">
      <c r="A427" s="490" t="s">
        <v>357</v>
      </c>
      <c r="B427" s="491"/>
      <c r="C427" s="491"/>
    </row>
    <row r="428" spans="1:3" s="296" customFormat="1" ht="12" hidden="1">
      <c r="A428" s="490" t="s">
        <v>535</v>
      </c>
      <c r="B428" s="491"/>
      <c r="C428" s="491"/>
    </row>
    <row r="429" spans="1:3" s="296" customFormat="1" ht="12" hidden="1">
      <c r="A429" s="490" t="s">
        <v>536</v>
      </c>
      <c r="B429" s="491"/>
      <c r="C429" s="491"/>
    </row>
    <row r="430" spans="1:3" s="296" customFormat="1" ht="12" hidden="1">
      <c r="A430" s="490" t="s">
        <v>320</v>
      </c>
      <c r="B430" s="491"/>
      <c r="C430" s="491"/>
    </row>
    <row r="431" spans="1:3" s="296" customFormat="1" ht="12" hidden="1">
      <c r="A431" s="490" t="s">
        <v>318</v>
      </c>
      <c r="B431" s="491"/>
      <c r="C431" s="491"/>
    </row>
    <row r="432" spans="1:3" s="296" customFormat="1" ht="12">
      <c r="A432" s="488" t="s">
        <v>803</v>
      </c>
      <c r="B432" s="489">
        <f>B433+B435+B436+B437+B439+B442+B443+B444</f>
        <v>0</v>
      </c>
      <c r="C432" s="489">
        <f>C433+C435+C436+C437+C439+C442+C443+C444</f>
        <v>9042</v>
      </c>
    </row>
    <row r="433" spans="1:3" s="296" customFormat="1" ht="12" hidden="1">
      <c r="A433" s="490" t="s">
        <v>317</v>
      </c>
      <c r="B433" s="491"/>
      <c r="C433" s="491"/>
    </row>
    <row r="434" spans="1:3" s="296" customFormat="1" ht="12" hidden="1">
      <c r="A434" s="490" t="s">
        <v>532</v>
      </c>
      <c r="B434" s="491"/>
      <c r="C434" s="491"/>
    </row>
    <row r="435" spans="1:3" s="296" customFormat="1" ht="11.25" customHeight="1">
      <c r="A435" s="490" t="s">
        <v>319</v>
      </c>
      <c r="B435" s="491"/>
      <c r="C435" s="491">
        <f>7737-200</f>
        <v>7537</v>
      </c>
    </row>
    <row r="436" spans="1:3" s="296" customFormat="1" ht="12" hidden="1">
      <c r="A436" s="490" t="s">
        <v>533</v>
      </c>
      <c r="B436" s="491"/>
      <c r="C436" s="491"/>
    </row>
    <row r="437" spans="1:3" s="296" customFormat="1" ht="12" hidden="1">
      <c r="A437" s="490" t="s">
        <v>321</v>
      </c>
      <c r="B437" s="491"/>
      <c r="C437" s="491"/>
    </row>
    <row r="438" spans="1:3" s="296" customFormat="1" ht="12" hidden="1">
      <c r="A438" s="490" t="s">
        <v>318</v>
      </c>
      <c r="B438" s="491"/>
      <c r="C438" s="491"/>
    </row>
    <row r="439" spans="1:3" s="296" customFormat="1" ht="12">
      <c r="A439" s="490" t="s">
        <v>534</v>
      </c>
      <c r="B439" s="491">
        <f>SUM(B440:B441)</f>
        <v>0</v>
      </c>
      <c r="C439" s="491">
        <f>SUM(C440:C441)</f>
        <v>1505</v>
      </c>
    </row>
    <row r="440" spans="1:3" s="296" customFormat="1" ht="12">
      <c r="A440" s="490" t="s">
        <v>356</v>
      </c>
      <c r="B440" s="491"/>
      <c r="C440" s="491">
        <v>1505</v>
      </c>
    </row>
    <row r="441" spans="1:3" s="296" customFormat="1" ht="12">
      <c r="A441" s="490" t="s">
        <v>357</v>
      </c>
      <c r="B441" s="491">
        <v>0</v>
      </c>
      <c r="C441" s="491">
        <v>0</v>
      </c>
    </row>
    <row r="442" spans="1:3" s="296" customFormat="1" ht="12" hidden="1">
      <c r="A442" s="490" t="s">
        <v>535</v>
      </c>
      <c r="B442" s="491"/>
      <c r="C442" s="491"/>
    </row>
    <row r="443" spans="1:3" s="296" customFormat="1" ht="12" hidden="1">
      <c r="A443" s="490" t="s">
        <v>536</v>
      </c>
      <c r="B443" s="491"/>
      <c r="C443" s="491"/>
    </row>
    <row r="444" spans="1:3" s="296" customFormat="1" ht="12" hidden="1">
      <c r="A444" s="490" t="s">
        <v>320</v>
      </c>
      <c r="B444" s="491"/>
      <c r="C444" s="491"/>
    </row>
    <row r="445" spans="1:3" s="296" customFormat="1" ht="12" hidden="1">
      <c r="A445" s="490" t="s">
        <v>318</v>
      </c>
      <c r="B445" s="491"/>
      <c r="C445" s="491"/>
    </row>
    <row r="446" spans="1:3" s="296" customFormat="1" ht="12">
      <c r="A446" s="488" t="s">
        <v>804</v>
      </c>
      <c r="B446" s="489">
        <f>B447+B449+B450+B451+B453+B456+B457+B458</f>
        <v>0</v>
      </c>
      <c r="C446" s="489">
        <f>C447+C449+C450+C451+C453+C456+C457+C458</f>
        <v>0</v>
      </c>
    </row>
    <row r="447" spans="1:3" s="296" customFormat="1" ht="12" hidden="1">
      <c r="A447" s="490" t="s">
        <v>317</v>
      </c>
      <c r="B447" s="491"/>
      <c r="C447" s="491"/>
    </row>
    <row r="448" spans="1:3" s="296" customFormat="1" ht="12" hidden="1">
      <c r="A448" s="490" t="s">
        <v>532</v>
      </c>
      <c r="B448" s="491"/>
      <c r="C448" s="491"/>
    </row>
    <row r="449" spans="1:3" s="296" customFormat="1" ht="12" hidden="1">
      <c r="A449" s="490" t="s">
        <v>319</v>
      </c>
      <c r="B449" s="491"/>
      <c r="C449" s="491"/>
    </row>
    <row r="450" spans="1:3" s="296" customFormat="1" ht="12" hidden="1">
      <c r="A450" s="490" t="s">
        <v>533</v>
      </c>
      <c r="B450" s="491"/>
      <c r="C450" s="491"/>
    </row>
    <row r="451" spans="1:3" s="296" customFormat="1" ht="12" hidden="1">
      <c r="A451" s="490" t="s">
        <v>321</v>
      </c>
      <c r="B451" s="491"/>
      <c r="C451" s="491"/>
    </row>
    <row r="452" spans="1:3" s="296" customFormat="1" ht="12" hidden="1">
      <c r="A452" s="490" t="s">
        <v>318</v>
      </c>
      <c r="B452" s="491"/>
      <c r="C452" s="491"/>
    </row>
    <row r="453" spans="1:3" s="296" customFormat="1" ht="12" hidden="1">
      <c r="A453" s="490" t="s">
        <v>534</v>
      </c>
      <c r="B453" s="491">
        <f>SUM(B454:B455)</f>
        <v>0</v>
      </c>
      <c r="C453" s="491">
        <f>SUM(C454:C455)</f>
        <v>0</v>
      </c>
    </row>
    <row r="454" spans="1:3" s="296" customFormat="1" ht="12" hidden="1">
      <c r="A454" s="490" t="s">
        <v>356</v>
      </c>
      <c r="B454" s="491"/>
      <c r="C454" s="491"/>
    </row>
    <row r="455" spans="1:3" s="296" customFormat="1" ht="12" hidden="1">
      <c r="A455" s="490" t="s">
        <v>357</v>
      </c>
      <c r="B455" s="491"/>
      <c r="C455" s="491"/>
    </row>
    <row r="456" spans="1:3" s="296" customFormat="1" ht="12" hidden="1">
      <c r="A456" s="490" t="s">
        <v>535</v>
      </c>
      <c r="B456" s="491"/>
      <c r="C456" s="491"/>
    </row>
    <row r="457" spans="1:3" s="296" customFormat="1" ht="12" hidden="1">
      <c r="A457" s="490" t="s">
        <v>536</v>
      </c>
      <c r="B457" s="491"/>
      <c r="C457" s="491"/>
    </row>
    <row r="458" spans="1:3" s="296" customFormat="1" ht="12" hidden="1">
      <c r="A458" s="490" t="s">
        <v>320</v>
      </c>
      <c r="B458" s="491"/>
      <c r="C458" s="491"/>
    </row>
    <row r="459" spans="1:3" s="296" customFormat="1" ht="12" hidden="1">
      <c r="A459" s="490" t="s">
        <v>318</v>
      </c>
      <c r="B459" s="491"/>
      <c r="C459" s="491"/>
    </row>
    <row r="460" spans="1:3" s="296" customFormat="1" ht="12">
      <c r="A460" s="488" t="s">
        <v>528</v>
      </c>
      <c r="B460" s="489">
        <f>B461+B463+B464+B465+B467+B470+B471+B472</f>
        <v>0</v>
      </c>
      <c r="C460" s="489">
        <f>C461+C463+C464+C465+C467+C470+C471+C472</f>
        <v>3439</v>
      </c>
    </row>
    <row r="461" spans="1:3" s="296" customFormat="1" ht="12" hidden="1">
      <c r="A461" s="490" t="s">
        <v>317</v>
      </c>
      <c r="B461" s="491"/>
      <c r="C461" s="491"/>
    </row>
    <row r="462" spans="1:3" s="296" customFormat="1" ht="12" hidden="1">
      <c r="A462" s="490" t="s">
        <v>532</v>
      </c>
      <c r="B462" s="491"/>
      <c r="C462" s="491"/>
    </row>
    <row r="463" spans="1:3" s="296" customFormat="1" ht="12" hidden="1">
      <c r="A463" s="490" t="s">
        <v>319</v>
      </c>
      <c r="B463" s="491"/>
      <c r="C463" s="491"/>
    </row>
    <row r="464" spans="1:3" s="296" customFormat="1" ht="12" hidden="1">
      <c r="A464" s="490" t="s">
        <v>533</v>
      </c>
      <c r="B464" s="491"/>
      <c r="C464" s="491"/>
    </row>
    <row r="465" spans="1:3" s="296" customFormat="1" ht="12" hidden="1">
      <c r="A465" s="490" t="s">
        <v>321</v>
      </c>
      <c r="B465" s="491"/>
      <c r="C465" s="491"/>
    </row>
    <row r="466" spans="1:3" s="296" customFormat="1" ht="12" hidden="1">
      <c r="A466" s="490" t="s">
        <v>318</v>
      </c>
      <c r="B466" s="491"/>
      <c r="C466" s="491"/>
    </row>
    <row r="467" spans="1:3" s="296" customFormat="1" ht="12">
      <c r="A467" s="490" t="s">
        <v>534</v>
      </c>
      <c r="B467" s="491">
        <f>SUM(B468:B469)</f>
        <v>0</v>
      </c>
      <c r="C467" s="491">
        <f>SUM(C468:C469)</f>
        <v>3439</v>
      </c>
    </row>
    <row r="468" spans="1:3" s="296" customFormat="1" ht="12">
      <c r="A468" s="490" t="s">
        <v>356</v>
      </c>
      <c r="B468" s="491"/>
      <c r="C468" s="491">
        <v>3439</v>
      </c>
    </row>
    <row r="469" spans="1:3" s="296" customFormat="1" ht="12" hidden="1">
      <c r="A469" s="490" t="s">
        <v>357</v>
      </c>
      <c r="B469" s="491"/>
      <c r="C469" s="491"/>
    </row>
    <row r="470" spans="1:3" s="296" customFormat="1" ht="12" hidden="1">
      <c r="A470" s="490" t="s">
        <v>535</v>
      </c>
      <c r="B470" s="491"/>
      <c r="C470" s="491"/>
    </row>
    <row r="471" spans="1:3" s="296" customFormat="1" ht="12" hidden="1">
      <c r="A471" s="490" t="s">
        <v>536</v>
      </c>
      <c r="B471" s="491"/>
      <c r="C471" s="491"/>
    </row>
    <row r="472" spans="1:3" s="296" customFormat="1" ht="12" hidden="1">
      <c r="A472" s="490" t="s">
        <v>320</v>
      </c>
      <c r="B472" s="491"/>
      <c r="C472" s="491"/>
    </row>
    <row r="473" spans="1:3" s="296" customFormat="1" ht="12" hidden="1">
      <c r="A473" s="490" t="s">
        <v>318</v>
      </c>
      <c r="B473" s="491"/>
      <c r="C473" s="491"/>
    </row>
    <row r="474" spans="1:3" s="296" customFormat="1" ht="12">
      <c r="A474" s="488" t="s">
        <v>529</v>
      </c>
      <c r="B474" s="489">
        <f>B475+B477+B478+B479+B481+SUM(B484:B486)</f>
        <v>0</v>
      </c>
      <c r="C474" s="489">
        <f>C475+C477+C478+C479+C481+SUM(C484:C486)</f>
        <v>82801</v>
      </c>
    </row>
    <row r="475" spans="1:3" s="296" customFormat="1" ht="12">
      <c r="A475" s="490" t="s">
        <v>317</v>
      </c>
      <c r="B475" s="491"/>
      <c r="C475" s="491">
        <f>2917+20626+285</f>
        <v>23828</v>
      </c>
    </row>
    <row r="476" spans="1:3" s="296" customFormat="1" ht="12">
      <c r="A476" s="500" t="s">
        <v>532</v>
      </c>
      <c r="B476" s="501"/>
      <c r="C476" s="501">
        <v>2917</v>
      </c>
    </row>
    <row r="477" spans="1:3" s="296" customFormat="1" ht="12" hidden="1">
      <c r="A477" s="490" t="s">
        <v>319</v>
      </c>
      <c r="B477" s="491"/>
      <c r="C477" s="491"/>
    </row>
    <row r="478" spans="1:3" s="296" customFormat="1" ht="12" hidden="1">
      <c r="A478" s="490" t="s">
        <v>533</v>
      </c>
      <c r="B478" s="491"/>
      <c r="C478" s="491"/>
    </row>
    <row r="479" spans="1:3" s="296" customFormat="1" ht="12">
      <c r="A479" s="490" t="s">
        <v>321</v>
      </c>
      <c r="B479" s="491">
        <f>B480</f>
        <v>0</v>
      </c>
      <c r="C479" s="491">
        <f>C480</f>
        <v>0</v>
      </c>
    </row>
    <row r="480" spans="1:3" s="296" customFormat="1" ht="12" hidden="1">
      <c r="A480" s="500" t="s">
        <v>688</v>
      </c>
      <c r="B480" s="501"/>
      <c r="C480" s="501"/>
    </row>
    <row r="481" spans="1:3" s="296" customFormat="1" ht="12">
      <c r="A481" s="490" t="s">
        <v>534</v>
      </c>
      <c r="B481" s="491">
        <f>SUM(B482:B483)</f>
        <v>0</v>
      </c>
      <c r="C481" s="491">
        <f>SUM(C482:C483)</f>
        <v>27462</v>
      </c>
    </row>
    <row r="482" spans="1:3" s="296" customFormat="1" ht="12">
      <c r="A482" s="490" t="s">
        <v>356</v>
      </c>
      <c r="B482" s="491"/>
      <c r="C482" s="491">
        <f>42677-1681-15215</f>
        <v>25781</v>
      </c>
    </row>
    <row r="483" spans="1:3" s="296" customFormat="1" ht="12">
      <c r="A483" s="490" t="s">
        <v>357</v>
      </c>
      <c r="B483" s="491"/>
      <c r="C483" s="491">
        <v>1681</v>
      </c>
    </row>
    <row r="484" spans="1:3" s="296" customFormat="1" ht="12">
      <c r="A484" s="490" t="s">
        <v>535</v>
      </c>
      <c r="B484" s="491"/>
      <c r="C484" s="491">
        <v>15215</v>
      </c>
    </row>
    <row r="485" spans="1:3" s="296" customFormat="1" ht="12" hidden="1">
      <c r="A485" s="490" t="s">
        <v>536</v>
      </c>
      <c r="B485" s="491"/>
      <c r="C485" s="491"/>
    </row>
    <row r="486" spans="1:3" s="296" customFormat="1" ht="12">
      <c r="A486" s="490" t="s">
        <v>515</v>
      </c>
      <c r="B486" s="491">
        <f>SUM(B487:B495)</f>
        <v>0</v>
      </c>
      <c r="C486" s="491">
        <f>SUM(C487:C495)</f>
        <v>16296</v>
      </c>
    </row>
    <row r="487" spans="1:3" s="296" customFormat="1" ht="12">
      <c r="A487" s="490" t="s">
        <v>851</v>
      </c>
      <c r="B487" s="491"/>
      <c r="C487" s="491">
        <f>371+334</f>
        <v>705</v>
      </c>
    </row>
    <row r="488" spans="1:3" s="296" customFormat="1" ht="12">
      <c r="A488" s="490" t="s">
        <v>852</v>
      </c>
      <c r="B488" s="491"/>
      <c r="C488" s="491">
        <v>3058</v>
      </c>
    </row>
    <row r="489" spans="1:3" s="296" customFormat="1" ht="12">
      <c r="A489" s="490" t="s">
        <v>765</v>
      </c>
      <c r="B489" s="491"/>
      <c r="C489" s="491">
        <v>3170</v>
      </c>
    </row>
    <row r="490" spans="1:3" s="296" customFormat="1" ht="12">
      <c r="A490" s="490" t="s">
        <v>900</v>
      </c>
      <c r="B490" s="491"/>
      <c r="C490" s="491">
        <v>316</v>
      </c>
    </row>
    <row r="491" spans="1:3" s="296" customFormat="1" ht="12">
      <c r="A491" s="490" t="s">
        <v>151</v>
      </c>
      <c r="B491" s="491"/>
      <c r="C491" s="491">
        <v>1023</v>
      </c>
    </row>
    <row r="492" spans="1:3" s="296" customFormat="1" ht="12">
      <c r="A492" s="490" t="s">
        <v>152</v>
      </c>
      <c r="B492" s="491"/>
      <c r="C492" s="491">
        <v>7746</v>
      </c>
    </row>
    <row r="493" spans="1:3" s="296" customFormat="1" ht="12">
      <c r="A493" s="490" t="s">
        <v>153</v>
      </c>
      <c r="B493" s="491"/>
      <c r="C493" s="491">
        <v>0</v>
      </c>
    </row>
    <row r="494" spans="1:3" s="296" customFormat="1" ht="12">
      <c r="A494" s="490" t="s">
        <v>901</v>
      </c>
      <c r="B494" s="491"/>
      <c r="C494" s="491">
        <v>278</v>
      </c>
    </row>
    <row r="495" spans="1:3" s="296" customFormat="1" ht="12" hidden="1">
      <c r="A495" s="490" t="s">
        <v>318</v>
      </c>
      <c r="B495" s="491"/>
      <c r="C495" s="491"/>
    </row>
    <row r="496" spans="1:3" s="296" customFormat="1" ht="12">
      <c r="A496" s="502" t="s">
        <v>626</v>
      </c>
      <c r="B496" s="503">
        <f>SUM(B497:B500)</f>
        <v>0</v>
      </c>
      <c r="C496" s="503">
        <f>SUM(C497:C500)</f>
        <v>977</v>
      </c>
    </row>
    <row r="497" spans="1:3" s="296" customFormat="1" ht="12">
      <c r="A497" s="490" t="s">
        <v>328</v>
      </c>
      <c r="B497" s="504"/>
      <c r="C497" s="504">
        <f>977-114</f>
        <v>863</v>
      </c>
    </row>
    <row r="498" spans="1:3" s="296" customFormat="1" ht="12" hidden="1">
      <c r="A498" s="490" t="s">
        <v>468</v>
      </c>
      <c r="B498" s="504"/>
      <c r="C498" s="504"/>
    </row>
    <row r="499" spans="1:3" s="296" customFormat="1" ht="12" hidden="1">
      <c r="A499" s="490" t="s">
        <v>467</v>
      </c>
      <c r="B499" s="504"/>
      <c r="C499" s="504"/>
    </row>
    <row r="500" spans="1:3" s="296" customFormat="1" ht="12">
      <c r="A500" s="490" t="s">
        <v>766</v>
      </c>
      <c r="B500" s="504"/>
      <c r="C500" s="504">
        <v>114</v>
      </c>
    </row>
    <row r="501" spans="1:3" s="296" customFormat="1" ht="15" customHeight="1" thickBot="1">
      <c r="A501" s="492" t="s">
        <v>834</v>
      </c>
      <c r="B501" s="493">
        <f>B404+B418+B432+B446+B460+B474+B496</f>
        <v>0</v>
      </c>
      <c r="C501" s="493">
        <f>C404+C418+C432+C446+C460+C474+C496</f>
        <v>266885</v>
      </c>
    </row>
    <row r="502" spans="2:3" s="296" customFormat="1" ht="12">
      <c r="B502" s="482"/>
      <c r="C502" s="482"/>
    </row>
    <row r="503" spans="1:3" s="296" customFormat="1" ht="17.25" thickBot="1">
      <c r="A503" s="496" t="s">
        <v>368</v>
      </c>
      <c r="B503" s="505"/>
      <c r="C503" s="505"/>
    </row>
    <row r="504" spans="1:3" s="296" customFormat="1" ht="24" customHeight="1">
      <c r="A504" s="506" t="s">
        <v>406</v>
      </c>
      <c r="B504" s="302" t="e">
        <f>B10</f>
        <v>#REF!</v>
      </c>
      <c r="C504" s="302" t="e">
        <f>C10</f>
        <v>#REF!</v>
      </c>
    </row>
    <row r="505" spans="1:3" s="296" customFormat="1" ht="12">
      <c r="A505" s="507" t="s">
        <v>610</v>
      </c>
      <c r="B505" s="489"/>
      <c r="C505" s="489">
        <f>232115+334+285-1232+2</f>
        <v>231504</v>
      </c>
    </row>
    <row r="506" spans="1:3" s="296" customFormat="1" ht="12">
      <c r="A506" s="507" t="s">
        <v>830</v>
      </c>
      <c r="B506" s="485">
        <f>B508+B510+B512+B513</f>
        <v>0</v>
      </c>
      <c r="C506" s="485">
        <f>C508+C510+C512+C513</f>
        <v>35381</v>
      </c>
    </row>
    <row r="507" spans="1:3" s="296" customFormat="1" ht="12">
      <c r="A507" s="499" t="s">
        <v>687</v>
      </c>
      <c r="B507" s="508">
        <v>0</v>
      </c>
      <c r="C507" s="508">
        <v>0</v>
      </c>
    </row>
    <row r="508" spans="1:3" s="296" customFormat="1" ht="12">
      <c r="A508" s="499" t="s">
        <v>47</v>
      </c>
      <c r="B508" s="508">
        <v>0</v>
      </c>
      <c r="C508" s="508">
        <v>0</v>
      </c>
    </row>
    <row r="509" spans="1:3" s="296" customFormat="1" ht="12">
      <c r="A509" s="499" t="s">
        <v>469</v>
      </c>
      <c r="B509" s="508"/>
      <c r="C509" s="508">
        <v>2518</v>
      </c>
    </row>
    <row r="510" spans="1:3" s="296" customFormat="1" ht="12">
      <c r="A510" s="499" t="s">
        <v>47</v>
      </c>
      <c r="B510" s="508"/>
      <c r="C510" s="508">
        <v>9831</v>
      </c>
    </row>
    <row r="511" spans="1:3" s="296" customFormat="1" ht="12">
      <c r="A511" s="499" t="s">
        <v>756</v>
      </c>
      <c r="B511" s="508"/>
      <c r="C511" s="508">
        <f>788+4052+713</f>
        <v>5553</v>
      </c>
    </row>
    <row r="512" spans="1:3" s="296" customFormat="1" ht="12">
      <c r="A512" s="499" t="s">
        <v>831</v>
      </c>
      <c r="B512" s="508"/>
      <c r="C512" s="508">
        <f>3170+16443+2917</f>
        <v>22530</v>
      </c>
    </row>
    <row r="513" spans="1:3" s="296" customFormat="1" ht="12">
      <c r="A513" s="499" t="s">
        <v>133</v>
      </c>
      <c r="B513" s="484"/>
      <c r="C513" s="484">
        <v>3020</v>
      </c>
    </row>
    <row r="514" spans="1:3" s="296" customFormat="1" ht="12.75" thickBot="1">
      <c r="A514" s="509" t="s">
        <v>834</v>
      </c>
      <c r="B514" s="510">
        <f>B505+B506</f>
        <v>0</v>
      </c>
      <c r="C514" s="510">
        <f>C505+C506</f>
        <v>266885</v>
      </c>
    </row>
    <row r="515" spans="2:3" s="296" customFormat="1" ht="12" hidden="1">
      <c r="B515" s="498" t="str">
        <f>IF(B514=B501,"OK.","BŁĄD")</f>
        <v>OK.</v>
      </c>
      <c r="C515" s="498" t="str">
        <f>IF(C514=C501,"OK.","BŁĄD")</f>
        <v>OK.</v>
      </c>
    </row>
    <row r="516" spans="1:3" s="296" customFormat="1" ht="12">
      <c r="A516" s="296" t="s">
        <v>576</v>
      </c>
      <c r="B516" s="482"/>
      <c r="C516" s="482"/>
    </row>
    <row r="517" spans="2:3" s="296" customFormat="1" ht="12">
      <c r="B517" s="482"/>
      <c r="C517" s="482"/>
    </row>
    <row r="518" spans="1:78" s="475" customFormat="1" ht="18" customHeight="1" thickBot="1">
      <c r="A518" s="472" t="s">
        <v>370</v>
      </c>
      <c r="B518" s="313"/>
      <c r="C518" s="473"/>
      <c r="D518" s="474"/>
      <c r="E518" s="474"/>
      <c r="F518" s="474"/>
      <c r="G518" s="474"/>
      <c r="H518" s="474"/>
      <c r="I518" s="474"/>
      <c r="J518" s="474"/>
      <c r="K518" s="474"/>
      <c r="L518" s="474"/>
      <c r="M518" s="474"/>
      <c r="N518" s="474"/>
      <c r="O518" s="474"/>
      <c r="P518" s="474"/>
      <c r="Q518" s="474"/>
      <c r="R518" s="474"/>
      <c r="S518" s="474"/>
      <c r="T518" s="474"/>
      <c r="U518" s="474"/>
      <c r="V518" s="474"/>
      <c r="W518" s="474"/>
      <c r="X518" s="474"/>
      <c r="Y518" s="474"/>
      <c r="Z518" s="474"/>
      <c r="AA518" s="474"/>
      <c r="AB518" s="474"/>
      <c r="AC518" s="474"/>
      <c r="AD518" s="474"/>
      <c r="AE518" s="474"/>
      <c r="AF518" s="474"/>
      <c r="AG518" s="474"/>
      <c r="AH518" s="474"/>
      <c r="AI518" s="474"/>
      <c r="AJ518" s="474"/>
      <c r="AK518" s="474"/>
      <c r="AL518" s="474"/>
      <c r="AM518" s="474"/>
      <c r="AN518" s="474"/>
      <c r="AO518" s="474"/>
      <c r="AP518" s="474"/>
      <c r="AQ518" s="474"/>
      <c r="AR518" s="474"/>
      <c r="AS518" s="474"/>
      <c r="AT518" s="474"/>
      <c r="AU518" s="474"/>
      <c r="AV518" s="474"/>
      <c r="AW518" s="474"/>
      <c r="AX518" s="474"/>
      <c r="AY518" s="474"/>
      <c r="AZ518" s="474"/>
      <c r="BA518" s="474"/>
      <c r="BB518" s="474"/>
      <c r="BC518" s="474"/>
      <c r="BD518" s="474"/>
      <c r="BE518" s="474"/>
      <c r="BF518" s="474"/>
      <c r="BG518" s="474"/>
      <c r="BH518" s="474"/>
      <c r="BI518" s="474"/>
      <c r="BJ518" s="474"/>
      <c r="BK518" s="474"/>
      <c r="BL518" s="474"/>
      <c r="BM518" s="474"/>
      <c r="BN518" s="474"/>
      <c r="BO518" s="474"/>
      <c r="BP518" s="474"/>
      <c r="BQ518" s="474"/>
      <c r="BR518" s="474"/>
      <c r="BS518" s="474"/>
      <c r="BT518" s="474"/>
      <c r="BU518" s="474"/>
      <c r="BV518" s="474"/>
      <c r="BW518" s="474"/>
      <c r="BX518" s="474"/>
      <c r="BY518" s="474"/>
      <c r="BZ518" s="474"/>
    </row>
    <row r="519" spans="1:78" s="475" customFormat="1" ht="15" customHeight="1">
      <c r="A519" s="284" t="s">
        <v>643</v>
      </c>
      <c r="B519" s="302" t="e">
        <f>B10</f>
        <v>#REF!</v>
      </c>
      <c r="C519" s="302" t="e">
        <f>C10</f>
        <v>#REF!</v>
      </c>
      <c r="D519" s="474"/>
      <c r="E519" s="474"/>
      <c r="F519" s="474"/>
      <c r="G519" s="474"/>
      <c r="H519" s="474"/>
      <c r="I519" s="474"/>
      <c r="J519" s="474"/>
      <c r="K519" s="474"/>
      <c r="L519" s="474"/>
      <c r="M519" s="474"/>
      <c r="N519" s="474"/>
      <c r="O519" s="474"/>
      <c r="P519" s="474"/>
      <c r="Q519" s="474"/>
      <c r="R519" s="474"/>
      <c r="S519" s="474"/>
      <c r="T519" s="474"/>
      <c r="U519" s="474"/>
      <c r="V519" s="474"/>
      <c r="W519" s="474"/>
      <c r="X519" s="474"/>
      <c r="Y519" s="474"/>
      <c r="Z519" s="474"/>
      <c r="AA519" s="474"/>
      <c r="AB519" s="474"/>
      <c r="AC519" s="474"/>
      <c r="AD519" s="474"/>
      <c r="AE519" s="474"/>
      <c r="AF519" s="474"/>
      <c r="AG519" s="474"/>
      <c r="AH519" s="474"/>
      <c r="AI519" s="474"/>
      <c r="AJ519" s="474"/>
      <c r="AK519" s="474"/>
      <c r="AL519" s="474"/>
      <c r="AM519" s="474"/>
      <c r="AN519" s="474"/>
      <c r="AO519" s="474"/>
      <c r="AP519" s="474"/>
      <c r="AQ519" s="474"/>
      <c r="AR519" s="474"/>
      <c r="AS519" s="474"/>
      <c r="AT519" s="474"/>
      <c r="AU519" s="474"/>
      <c r="AV519" s="474"/>
      <c r="AW519" s="474"/>
      <c r="AX519" s="474"/>
      <c r="AY519" s="474"/>
      <c r="AZ519" s="474"/>
      <c r="BA519" s="474"/>
      <c r="BB519" s="474"/>
      <c r="BC519" s="474"/>
      <c r="BD519" s="474"/>
      <c r="BE519" s="474"/>
      <c r="BF519" s="474"/>
      <c r="BG519" s="474"/>
      <c r="BH519" s="474"/>
      <c r="BI519" s="474"/>
      <c r="BJ519" s="474"/>
      <c r="BK519" s="474"/>
      <c r="BL519" s="474"/>
      <c r="BM519" s="474"/>
      <c r="BN519" s="474"/>
      <c r="BO519" s="474"/>
      <c r="BP519" s="474"/>
      <c r="BQ519" s="474"/>
      <c r="BR519" s="474"/>
      <c r="BS519" s="474"/>
      <c r="BT519" s="474"/>
      <c r="BU519" s="474"/>
      <c r="BV519" s="474"/>
      <c r="BW519" s="474"/>
      <c r="BX519" s="474"/>
      <c r="BY519" s="474"/>
      <c r="BZ519" s="474"/>
    </row>
    <row r="520" spans="1:78" s="475" customFormat="1" ht="12.75" customHeight="1">
      <c r="A520" s="476" t="s">
        <v>50</v>
      </c>
      <c r="B520" s="511">
        <v>0</v>
      </c>
      <c r="C520" s="511">
        <v>0</v>
      </c>
      <c r="D520" s="474"/>
      <c r="E520" s="474"/>
      <c r="F520" s="474"/>
      <c r="G520" s="474"/>
      <c r="H520" s="474"/>
      <c r="I520" s="474"/>
      <c r="J520" s="474"/>
      <c r="K520" s="474"/>
      <c r="L520" s="474"/>
      <c r="M520" s="474"/>
      <c r="N520" s="474"/>
      <c r="O520" s="474"/>
      <c r="P520" s="474"/>
      <c r="Q520" s="474"/>
      <c r="R520" s="474"/>
      <c r="S520" s="474"/>
      <c r="T520" s="474"/>
      <c r="U520" s="474"/>
      <c r="V520" s="474"/>
      <c r="W520" s="474"/>
      <c r="X520" s="474"/>
      <c r="Y520" s="474"/>
      <c r="Z520" s="474"/>
      <c r="AA520" s="474"/>
      <c r="AB520" s="474"/>
      <c r="AC520" s="474"/>
      <c r="AD520" s="474"/>
      <c r="AE520" s="474"/>
      <c r="AF520" s="474"/>
      <c r="AG520" s="474"/>
      <c r="AH520" s="474"/>
      <c r="AI520" s="474"/>
      <c r="AJ520" s="474"/>
      <c r="AK520" s="474"/>
      <c r="AL520" s="474"/>
      <c r="AM520" s="474"/>
      <c r="AN520" s="474"/>
      <c r="AO520" s="474"/>
      <c r="AP520" s="474"/>
      <c r="AQ520" s="474"/>
      <c r="AR520" s="474"/>
      <c r="AS520" s="474"/>
      <c r="AT520" s="474"/>
      <c r="AU520" s="474"/>
      <c r="AV520" s="474"/>
      <c r="AW520" s="474"/>
      <c r="AX520" s="474"/>
      <c r="AY520" s="474"/>
      <c r="AZ520" s="474"/>
      <c r="BA520" s="474"/>
      <c r="BB520" s="474"/>
      <c r="BC520" s="474"/>
      <c r="BD520" s="474"/>
      <c r="BE520" s="474"/>
      <c r="BF520" s="474"/>
      <c r="BG520" s="474"/>
      <c r="BH520" s="474"/>
      <c r="BI520" s="474"/>
      <c r="BJ520" s="474"/>
      <c r="BK520" s="474"/>
      <c r="BL520" s="474"/>
      <c r="BM520" s="474"/>
      <c r="BN520" s="474"/>
      <c r="BO520" s="474"/>
      <c r="BP520" s="474"/>
      <c r="BQ520" s="474"/>
      <c r="BR520" s="474"/>
      <c r="BS520" s="474"/>
      <c r="BT520" s="474"/>
      <c r="BU520" s="474"/>
      <c r="BV520" s="474"/>
      <c r="BW520" s="474"/>
      <c r="BX520" s="474"/>
      <c r="BY520" s="474"/>
      <c r="BZ520" s="474"/>
    </row>
    <row r="521" spans="1:78" s="475" customFormat="1" ht="12.75" customHeight="1">
      <c r="A521" s="476" t="s">
        <v>799</v>
      </c>
      <c r="B521" s="477">
        <f>SUM(B522:B524)</f>
        <v>0</v>
      </c>
      <c r="C521" s="477">
        <f>SUM(C522:C524)</f>
        <v>0</v>
      </c>
      <c r="D521" s="474"/>
      <c r="E521" s="474"/>
      <c r="F521" s="474"/>
      <c r="G521" s="474"/>
      <c r="H521" s="474"/>
      <c r="I521" s="474"/>
      <c r="J521" s="474"/>
      <c r="K521" s="474"/>
      <c r="L521" s="474"/>
      <c r="M521" s="474"/>
      <c r="N521" s="474"/>
      <c r="O521" s="474"/>
      <c r="P521" s="474"/>
      <c r="Q521" s="474"/>
      <c r="R521" s="474"/>
      <c r="S521" s="474"/>
      <c r="T521" s="474"/>
      <c r="U521" s="474"/>
      <c r="V521" s="474"/>
      <c r="W521" s="474"/>
      <c r="X521" s="474"/>
      <c r="Y521" s="474"/>
      <c r="Z521" s="474"/>
      <c r="AA521" s="474"/>
      <c r="AB521" s="474"/>
      <c r="AC521" s="474"/>
      <c r="AD521" s="474"/>
      <c r="AE521" s="474"/>
      <c r="AF521" s="474"/>
      <c r="AG521" s="474"/>
      <c r="AH521" s="474"/>
      <c r="AI521" s="474"/>
      <c r="AJ521" s="474"/>
      <c r="AK521" s="474"/>
      <c r="AL521" s="474"/>
      <c r="AM521" s="474"/>
      <c r="AN521" s="474"/>
      <c r="AO521" s="474"/>
      <c r="AP521" s="474"/>
      <c r="AQ521" s="474"/>
      <c r="AR521" s="474"/>
      <c r="AS521" s="474"/>
      <c r="AT521" s="474"/>
      <c r="AU521" s="474"/>
      <c r="AV521" s="474"/>
      <c r="AW521" s="474"/>
      <c r="AX521" s="474"/>
      <c r="AY521" s="474"/>
      <c r="AZ521" s="474"/>
      <c r="BA521" s="474"/>
      <c r="BB521" s="474"/>
      <c r="BC521" s="474"/>
      <c r="BD521" s="474"/>
      <c r="BE521" s="474"/>
      <c r="BF521" s="474"/>
      <c r="BG521" s="474"/>
      <c r="BH521" s="474"/>
      <c r="BI521" s="474"/>
      <c r="BJ521" s="474"/>
      <c r="BK521" s="474"/>
      <c r="BL521" s="474"/>
      <c r="BM521" s="474"/>
      <c r="BN521" s="474"/>
      <c r="BO521" s="474"/>
      <c r="BP521" s="474"/>
      <c r="BQ521" s="474"/>
      <c r="BR521" s="474"/>
      <c r="BS521" s="474"/>
      <c r="BT521" s="474"/>
      <c r="BU521" s="474"/>
      <c r="BV521" s="474"/>
      <c r="BW521" s="474"/>
      <c r="BX521" s="474"/>
      <c r="BY521" s="474"/>
      <c r="BZ521" s="474"/>
    </row>
    <row r="522" spans="1:78" s="475" customFormat="1" ht="12.75" customHeight="1" hidden="1">
      <c r="A522" s="240" t="s">
        <v>51</v>
      </c>
      <c r="B522" s="365"/>
      <c r="C522" s="365"/>
      <c r="D522" s="474"/>
      <c r="E522" s="474"/>
      <c r="F522" s="474"/>
      <c r="G522" s="474"/>
      <c r="H522" s="474"/>
      <c r="I522" s="474"/>
      <c r="J522" s="474"/>
      <c r="K522" s="474"/>
      <c r="L522" s="474"/>
      <c r="M522" s="474"/>
      <c r="N522" s="474"/>
      <c r="O522" s="474"/>
      <c r="P522" s="474"/>
      <c r="Q522" s="474"/>
      <c r="R522" s="474"/>
      <c r="S522" s="474"/>
      <c r="T522" s="474"/>
      <c r="U522" s="474"/>
      <c r="V522" s="474"/>
      <c r="W522" s="474"/>
      <c r="X522" s="474"/>
      <c r="Y522" s="474"/>
      <c r="Z522" s="474"/>
      <c r="AA522" s="474"/>
      <c r="AB522" s="474"/>
      <c r="AC522" s="474"/>
      <c r="AD522" s="474"/>
      <c r="AE522" s="474"/>
      <c r="AF522" s="474"/>
      <c r="AG522" s="474"/>
      <c r="AH522" s="474"/>
      <c r="AI522" s="474"/>
      <c r="AJ522" s="474"/>
      <c r="AK522" s="474"/>
      <c r="AL522" s="474"/>
      <c r="AM522" s="474"/>
      <c r="AN522" s="474"/>
      <c r="AO522" s="474"/>
      <c r="AP522" s="474"/>
      <c r="AQ522" s="474"/>
      <c r="AR522" s="474"/>
      <c r="AS522" s="474"/>
      <c r="AT522" s="474"/>
      <c r="AU522" s="474"/>
      <c r="AV522" s="474"/>
      <c r="AW522" s="474"/>
      <c r="AX522" s="474"/>
      <c r="AY522" s="474"/>
      <c r="AZ522" s="474"/>
      <c r="BA522" s="474"/>
      <c r="BB522" s="474"/>
      <c r="BC522" s="474"/>
      <c r="BD522" s="474"/>
      <c r="BE522" s="474"/>
      <c r="BF522" s="474"/>
      <c r="BG522" s="474"/>
      <c r="BH522" s="474"/>
      <c r="BI522" s="474"/>
      <c r="BJ522" s="474"/>
      <c r="BK522" s="474"/>
      <c r="BL522" s="474"/>
      <c r="BM522" s="474"/>
      <c r="BN522" s="474"/>
      <c r="BO522" s="474"/>
      <c r="BP522" s="474"/>
      <c r="BQ522" s="474"/>
      <c r="BR522" s="474"/>
      <c r="BS522" s="474"/>
      <c r="BT522" s="474"/>
      <c r="BU522" s="474"/>
      <c r="BV522" s="474"/>
      <c r="BW522" s="474"/>
      <c r="BX522" s="474"/>
      <c r="BY522" s="474"/>
      <c r="BZ522" s="474"/>
    </row>
    <row r="523" spans="1:78" s="475" customFormat="1" ht="12.75" customHeight="1" hidden="1">
      <c r="A523" s="240" t="s">
        <v>51</v>
      </c>
      <c r="B523" s="365"/>
      <c r="C523" s="365"/>
      <c r="D523" s="474"/>
      <c r="E523" s="474"/>
      <c r="F523" s="474"/>
      <c r="G523" s="474"/>
      <c r="H523" s="474"/>
      <c r="I523" s="474"/>
      <c r="J523" s="474"/>
      <c r="K523" s="474"/>
      <c r="L523" s="474"/>
      <c r="M523" s="474"/>
      <c r="N523" s="474"/>
      <c r="O523" s="474"/>
      <c r="P523" s="474"/>
      <c r="Q523" s="474"/>
      <c r="R523" s="474"/>
      <c r="S523" s="474"/>
      <c r="T523" s="474"/>
      <c r="U523" s="474"/>
      <c r="V523" s="474"/>
      <c r="W523" s="474"/>
      <c r="X523" s="474"/>
      <c r="Y523" s="474"/>
      <c r="Z523" s="474"/>
      <c r="AA523" s="474"/>
      <c r="AB523" s="474"/>
      <c r="AC523" s="474"/>
      <c r="AD523" s="474"/>
      <c r="AE523" s="474"/>
      <c r="AF523" s="474"/>
      <c r="AG523" s="474"/>
      <c r="AH523" s="474"/>
      <c r="AI523" s="474"/>
      <c r="AJ523" s="474"/>
      <c r="AK523" s="474"/>
      <c r="AL523" s="474"/>
      <c r="AM523" s="474"/>
      <c r="AN523" s="474"/>
      <c r="AO523" s="474"/>
      <c r="AP523" s="474"/>
      <c r="AQ523" s="474"/>
      <c r="AR523" s="474"/>
      <c r="AS523" s="474"/>
      <c r="AT523" s="474"/>
      <c r="AU523" s="474"/>
      <c r="AV523" s="474"/>
      <c r="AW523" s="474"/>
      <c r="AX523" s="474"/>
      <c r="AY523" s="474"/>
      <c r="AZ523" s="474"/>
      <c r="BA523" s="474"/>
      <c r="BB523" s="474"/>
      <c r="BC523" s="474"/>
      <c r="BD523" s="474"/>
      <c r="BE523" s="474"/>
      <c r="BF523" s="474"/>
      <c r="BG523" s="474"/>
      <c r="BH523" s="474"/>
      <c r="BI523" s="474"/>
      <c r="BJ523" s="474"/>
      <c r="BK523" s="474"/>
      <c r="BL523" s="474"/>
      <c r="BM523" s="474"/>
      <c r="BN523" s="474"/>
      <c r="BO523" s="474"/>
      <c r="BP523" s="474"/>
      <c r="BQ523" s="474"/>
      <c r="BR523" s="474"/>
      <c r="BS523" s="474"/>
      <c r="BT523" s="474"/>
      <c r="BU523" s="474"/>
      <c r="BV523" s="474"/>
      <c r="BW523" s="474"/>
      <c r="BX523" s="474"/>
      <c r="BY523" s="474"/>
      <c r="BZ523" s="474"/>
    </row>
    <row r="524" spans="1:78" s="475" customFormat="1" ht="12.75" customHeight="1" hidden="1">
      <c r="A524" s="240" t="s">
        <v>51</v>
      </c>
      <c r="B524" s="365"/>
      <c r="C524" s="365"/>
      <c r="D524" s="474"/>
      <c r="E524" s="474"/>
      <c r="F524" s="474"/>
      <c r="G524" s="474"/>
      <c r="H524" s="474"/>
      <c r="I524" s="474"/>
      <c r="J524" s="474"/>
      <c r="K524" s="474"/>
      <c r="L524" s="474"/>
      <c r="M524" s="474"/>
      <c r="N524" s="474"/>
      <c r="O524" s="474"/>
      <c r="P524" s="474"/>
      <c r="Q524" s="474"/>
      <c r="R524" s="474"/>
      <c r="S524" s="474"/>
      <c r="T524" s="474"/>
      <c r="U524" s="474"/>
      <c r="V524" s="474"/>
      <c r="W524" s="474"/>
      <c r="X524" s="474"/>
      <c r="Y524" s="474"/>
      <c r="Z524" s="474"/>
      <c r="AA524" s="474"/>
      <c r="AB524" s="474"/>
      <c r="AC524" s="474"/>
      <c r="AD524" s="474"/>
      <c r="AE524" s="474"/>
      <c r="AF524" s="474"/>
      <c r="AG524" s="474"/>
      <c r="AH524" s="474"/>
      <c r="AI524" s="474"/>
      <c r="AJ524" s="474"/>
      <c r="AK524" s="474"/>
      <c r="AL524" s="474"/>
      <c r="AM524" s="474"/>
      <c r="AN524" s="474"/>
      <c r="AO524" s="474"/>
      <c r="AP524" s="474"/>
      <c r="AQ524" s="474"/>
      <c r="AR524" s="474"/>
      <c r="AS524" s="474"/>
      <c r="AT524" s="474"/>
      <c r="AU524" s="474"/>
      <c r="AV524" s="474"/>
      <c r="AW524" s="474"/>
      <c r="AX524" s="474"/>
      <c r="AY524" s="474"/>
      <c r="AZ524" s="474"/>
      <c r="BA524" s="474"/>
      <c r="BB524" s="474"/>
      <c r="BC524" s="474"/>
      <c r="BD524" s="474"/>
      <c r="BE524" s="474"/>
      <c r="BF524" s="474"/>
      <c r="BG524" s="474"/>
      <c r="BH524" s="474"/>
      <c r="BI524" s="474"/>
      <c r="BJ524" s="474"/>
      <c r="BK524" s="474"/>
      <c r="BL524" s="474"/>
      <c r="BM524" s="474"/>
      <c r="BN524" s="474"/>
      <c r="BO524" s="474"/>
      <c r="BP524" s="474"/>
      <c r="BQ524" s="474"/>
      <c r="BR524" s="474"/>
      <c r="BS524" s="474"/>
      <c r="BT524" s="474"/>
      <c r="BU524" s="474"/>
      <c r="BV524" s="474"/>
      <c r="BW524" s="474"/>
      <c r="BX524" s="474"/>
      <c r="BY524" s="474"/>
      <c r="BZ524" s="474"/>
    </row>
    <row r="525" spans="1:78" s="475" customFormat="1" ht="12.75" customHeight="1">
      <c r="A525" s="476" t="s">
        <v>635</v>
      </c>
      <c r="B525" s="477">
        <f>SUM(B526:B527)</f>
        <v>0</v>
      </c>
      <c r="C525" s="477">
        <f>SUM(C526:C527)</f>
        <v>0</v>
      </c>
      <c r="D525" s="474"/>
      <c r="E525" s="474"/>
      <c r="F525" s="474"/>
      <c r="G525" s="474"/>
      <c r="H525" s="474"/>
      <c r="I525" s="474"/>
      <c r="J525" s="474"/>
      <c r="K525" s="474"/>
      <c r="L525" s="474"/>
      <c r="M525" s="474"/>
      <c r="N525" s="474"/>
      <c r="O525" s="474"/>
      <c r="P525" s="474"/>
      <c r="Q525" s="474"/>
      <c r="R525" s="474"/>
      <c r="S525" s="474"/>
      <c r="T525" s="474"/>
      <c r="U525" s="474"/>
      <c r="V525" s="474"/>
      <c r="W525" s="474"/>
      <c r="X525" s="474"/>
      <c r="Y525" s="474"/>
      <c r="Z525" s="474"/>
      <c r="AA525" s="474"/>
      <c r="AB525" s="474"/>
      <c r="AC525" s="474"/>
      <c r="AD525" s="474"/>
      <c r="AE525" s="474"/>
      <c r="AF525" s="474"/>
      <c r="AG525" s="474"/>
      <c r="AH525" s="474"/>
      <c r="AI525" s="474"/>
      <c r="AJ525" s="474"/>
      <c r="AK525" s="474"/>
      <c r="AL525" s="474"/>
      <c r="AM525" s="474"/>
      <c r="AN525" s="474"/>
      <c r="AO525" s="474"/>
      <c r="AP525" s="474"/>
      <c r="AQ525" s="474"/>
      <c r="AR525" s="474"/>
      <c r="AS525" s="474"/>
      <c r="AT525" s="474"/>
      <c r="AU525" s="474"/>
      <c r="AV525" s="474"/>
      <c r="AW525" s="474"/>
      <c r="AX525" s="474"/>
      <c r="AY525" s="474"/>
      <c r="AZ525" s="474"/>
      <c r="BA525" s="474"/>
      <c r="BB525" s="474"/>
      <c r="BC525" s="474"/>
      <c r="BD525" s="474"/>
      <c r="BE525" s="474"/>
      <c r="BF525" s="474"/>
      <c r="BG525" s="474"/>
      <c r="BH525" s="474"/>
      <c r="BI525" s="474"/>
      <c r="BJ525" s="474"/>
      <c r="BK525" s="474"/>
      <c r="BL525" s="474"/>
      <c r="BM525" s="474"/>
      <c r="BN525" s="474"/>
      <c r="BO525" s="474"/>
      <c r="BP525" s="474"/>
      <c r="BQ525" s="474"/>
      <c r="BR525" s="474"/>
      <c r="BS525" s="474"/>
      <c r="BT525" s="474"/>
      <c r="BU525" s="474"/>
      <c r="BV525" s="474"/>
      <c r="BW525" s="474"/>
      <c r="BX525" s="474"/>
      <c r="BY525" s="474"/>
      <c r="BZ525" s="474"/>
    </row>
    <row r="526" spans="1:78" s="475" customFormat="1" ht="12.75" customHeight="1" hidden="1">
      <c r="A526" s="240" t="s">
        <v>51</v>
      </c>
      <c r="B526" s="365"/>
      <c r="C526" s="365"/>
      <c r="D526" s="474"/>
      <c r="E526" s="474"/>
      <c r="F526" s="474"/>
      <c r="G526" s="474"/>
      <c r="H526" s="474"/>
      <c r="I526" s="474"/>
      <c r="J526" s="474"/>
      <c r="K526" s="474"/>
      <c r="L526" s="474"/>
      <c r="M526" s="474"/>
      <c r="N526" s="474"/>
      <c r="O526" s="474"/>
      <c r="P526" s="474"/>
      <c r="Q526" s="474"/>
      <c r="R526" s="474"/>
      <c r="S526" s="474"/>
      <c r="T526" s="474"/>
      <c r="U526" s="474"/>
      <c r="V526" s="474"/>
      <c r="W526" s="474"/>
      <c r="X526" s="474"/>
      <c r="Y526" s="474"/>
      <c r="Z526" s="474"/>
      <c r="AA526" s="474"/>
      <c r="AB526" s="474"/>
      <c r="AC526" s="474"/>
      <c r="AD526" s="474"/>
      <c r="AE526" s="474"/>
      <c r="AF526" s="474"/>
      <c r="AG526" s="474"/>
      <c r="AH526" s="474"/>
      <c r="AI526" s="474"/>
      <c r="AJ526" s="474"/>
      <c r="AK526" s="474"/>
      <c r="AL526" s="474"/>
      <c r="AM526" s="474"/>
      <c r="AN526" s="474"/>
      <c r="AO526" s="474"/>
      <c r="AP526" s="474"/>
      <c r="AQ526" s="474"/>
      <c r="AR526" s="474"/>
      <c r="AS526" s="474"/>
      <c r="AT526" s="474"/>
      <c r="AU526" s="474"/>
      <c r="AV526" s="474"/>
      <c r="AW526" s="474"/>
      <c r="AX526" s="474"/>
      <c r="AY526" s="474"/>
      <c r="AZ526" s="474"/>
      <c r="BA526" s="474"/>
      <c r="BB526" s="474"/>
      <c r="BC526" s="474"/>
      <c r="BD526" s="474"/>
      <c r="BE526" s="474"/>
      <c r="BF526" s="474"/>
      <c r="BG526" s="474"/>
      <c r="BH526" s="474"/>
      <c r="BI526" s="474"/>
      <c r="BJ526" s="474"/>
      <c r="BK526" s="474"/>
      <c r="BL526" s="474"/>
      <c r="BM526" s="474"/>
      <c r="BN526" s="474"/>
      <c r="BO526" s="474"/>
      <c r="BP526" s="474"/>
      <c r="BQ526" s="474"/>
      <c r="BR526" s="474"/>
      <c r="BS526" s="474"/>
      <c r="BT526" s="474"/>
      <c r="BU526" s="474"/>
      <c r="BV526" s="474"/>
      <c r="BW526" s="474"/>
      <c r="BX526" s="474"/>
      <c r="BY526" s="474"/>
      <c r="BZ526" s="474"/>
    </row>
    <row r="527" spans="1:78" s="475" customFormat="1" ht="12.75" customHeight="1" hidden="1">
      <c r="A527" s="240" t="s">
        <v>51</v>
      </c>
      <c r="B527" s="365"/>
      <c r="C527" s="365"/>
      <c r="D527" s="474"/>
      <c r="E527" s="474"/>
      <c r="F527" s="474"/>
      <c r="G527" s="474"/>
      <c r="H527" s="474"/>
      <c r="I527" s="474"/>
      <c r="J527" s="474"/>
      <c r="K527" s="474"/>
      <c r="L527" s="474"/>
      <c r="M527" s="474"/>
      <c r="N527" s="474"/>
      <c r="O527" s="474"/>
      <c r="P527" s="474"/>
      <c r="Q527" s="474"/>
      <c r="R527" s="474"/>
      <c r="S527" s="474"/>
      <c r="T527" s="474"/>
      <c r="U527" s="474"/>
      <c r="V527" s="474"/>
      <c r="W527" s="474"/>
      <c r="X527" s="474"/>
      <c r="Y527" s="474"/>
      <c r="Z527" s="474"/>
      <c r="AA527" s="474"/>
      <c r="AB527" s="474"/>
      <c r="AC527" s="474"/>
      <c r="AD527" s="474"/>
      <c r="AE527" s="474"/>
      <c r="AF527" s="474"/>
      <c r="AG527" s="474"/>
      <c r="AH527" s="474"/>
      <c r="AI527" s="474"/>
      <c r="AJ527" s="474"/>
      <c r="AK527" s="474"/>
      <c r="AL527" s="474"/>
      <c r="AM527" s="474"/>
      <c r="AN527" s="474"/>
      <c r="AO527" s="474"/>
      <c r="AP527" s="474"/>
      <c r="AQ527" s="474"/>
      <c r="AR527" s="474"/>
      <c r="AS527" s="474"/>
      <c r="AT527" s="474"/>
      <c r="AU527" s="474"/>
      <c r="AV527" s="474"/>
      <c r="AW527" s="474"/>
      <c r="AX527" s="474"/>
      <c r="AY527" s="474"/>
      <c r="AZ527" s="474"/>
      <c r="BA527" s="474"/>
      <c r="BB527" s="474"/>
      <c r="BC527" s="474"/>
      <c r="BD527" s="474"/>
      <c r="BE527" s="474"/>
      <c r="BF527" s="474"/>
      <c r="BG527" s="474"/>
      <c r="BH527" s="474"/>
      <c r="BI527" s="474"/>
      <c r="BJ527" s="474"/>
      <c r="BK527" s="474"/>
      <c r="BL527" s="474"/>
      <c r="BM527" s="474"/>
      <c r="BN527" s="474"/>
      <c r="BO527" s="474"/>
      <c r="BP527" s="474"/>
      <c r="BQ527" s="474"/>
      <c r="BR527" s="474"/>
      <c r="BS527" s="474"/>
      <c r="BT527" s="474"/>
      <c r="BU527" s="474"/>
      <c r="BV527" s="474"/>
      <c r="BW527" s="474"/>
      <c r="BX527" s="474"/>
      <c r="BY527" s="474"/>
      <c r="BZ527" s="474"/>
    </row>
    <row r="528" spans="1:78" s="475" customFormat="1" ht="16.5" customHeight="1" thickBot="1">
      <c r="A528" s="478" t="s">
        <v>623</v>
      </c>
      <c r="B528" s="479">
        <f>B520+B521-B525</f>
        <v>0</v>
      </c>
      <c r="C528" s="479">
        <f>C520+C521-C525</f>
        <v>0</v>
      </c>
      <c r="D528" s="474"/>
      <c r="E528" s="474"/>
      <c r="F528" s="474"/>
      <c r="G528" s="474"/>
      <c r="H528" s="474"/>
      <c r="I528" s="474"/>
      <c r="J528" s="474"/>
      <c r="K528" s="474"/>
      <c r="L528" s="474"/>
      <c r="M528" s="474"/>
      <c r="N528" s="474"/>
      <c r="O528" s="474"/>
      <c r="P528" s="474"/>
      <c r="Q528" s="474"/>
      <c r="R528" s="474"/>
      <c r="S528" s="474"/>
      <c r="T528" s="474"/>
      <c r="U528" s="474"/>
      <c r="V528" s="474"/>
      <c r="W528" s="474"/>
      <c r="X528" s="474"/>
      <c r="Y528" s="474"/>
      <c r="Z528" s="474"/>
      <c r="AA528" s="474"/>
      <c r="AB528" s="474"/>
      <c r="AC528" s="474"/>
      <c r="AD528" s="474"/>
      <c r="AE528" s="474"/>
      <c r="AF528" s="474"/>
      <c r="AG528" s="474"/>
      <c r="AH528" s="474"/>
      <c r="AI528" s="474"/>
      <c r="AJ528" s="474"/>
      <c r="AK528" s="474"/>
      <c r="AL528" s="474"/>
      <c r="AM528" s="474"/>
      <c r="AN528" s="474"/>
      <c r="AO528" s="474"/>
      <c r="AP528" s="474"/>
      <c r="AQ528" s="474"/>
      <c r="AR528" s="474"/>
      <c r="AS528" s="474"/>
      <c r="AT528" s="474"/>
      <c r="AU528" s="474"/>
      <c r="AV528" s="474"/>
      <c r="AW528" s="474"/>
      <c r="AX528" s="474"/>
      <c r="AY528" s="474"/>
      <c r="AZ528" s="474"/>
      <c r="BA528" s="474"/>
      <c r="BB528" s="474"/>
      <c r="BC528" s="474"/>
      <c r="BD528" s="474"/>
      <c r="BE528" s="474"/>
      <c r="BF528" s="474"/>
      <c r="BG528" s="474"/>
      <c r="BH528" s="474"/>
      <c r="BI528" s="474"/>
      <c r="BJ528" s="474"/>
      <c r="BK528" s="474"/>
      <c r="BL528" s="474"/>
      <c r="BM528" s="474"/>
      <c r="BN528" s="474"/>
      <c r="BO528" s="474"/>
      <c r="BP528" s="474"/>
      <c r="BQ528" s="474"/>
      <c r="BR528" s="474"/>
      <c r="BS528" s="474"/>
      <c r="BT528" s="474"/>
      <c r="BU528" s="474"/>
      <c r="BV528" s="474"/>
      <c r="BW528" s="474"/>
      <c r="BX528" s="474"/>
      <c r="BY528" s="474"/>
      <c r="BZ528" s="474"/>
    </row>
    <row r="529" spans="1:78" s="475" customFormat="1" ht="12.75">
      <c r="A529" s="512"/>
      <c r="B529" s="513"/>
      <c r="C529" s="51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4"/>
      <c r="P529" s="474"/>
      <c r="Q529" s="474"/>
      <c r="R529" s="474"/>
      <c r="S529" s="474"/>
      <c r="T529" s="514" t="s">
        <v>239</v>
      </c>
      <c r="U529" s="515" t="s">
        <v>240</v>
      </c>
      <c r="V529" s="515" t="s">
        <v>241</v>
      </c>
      <c r="W529" s="515" t="s">
        <v>242</v>
      </c>
      <c r="X529" s="516" t="s">
        <v>243</v>
      </c>
      <c r="Y529" s="474"/>
      <c r="Z529" s="474"/>
      <c r="AA529" s="474"/>
      <c r="AB529" s="474"/>
      <c r="AC529" s="474"/>
      <c r="AD529" s="474"/>
      <c r="AE529" s="474"/>
      <c r="AF529" s="474"/>
      <c r="AG529" s="474"/>
      <c r="AH529" s="474"/>
      <c r="AI529" s="474"/>
      <c r="AJ529" s="474"/>
      <c r="AK529" s="474"/>
      <c r="AL529" s="474"/>
      <c r="AM529" s="474"/>
      <c r="AN529" s="474"/>
      <c r="AO529" s="474"/>
      <c r="AP529" s="474"/>
      <c r="AQ529" s="474"/>
      <c r="AR529" s="474"/>
      <c r="AS529" s="474"/>
      <c r="AT529" s="474"/>
      <c r="AU529" s="474"/>
      <c r="AV529" s="474"/>
      <c r="AW529" s="474"/>
      <c r="AX529" s="474"/>
      <c r="AY529" s="474"/>
      <c r="AZ529" s="474"/>
      <c r="BA529" s="474"/>
      <c r="BB529" s="474"/>
      <c r="BC529" s="474"/>
      <c r="BD529" s="474"/>
      <c r="BE529" s="474"/>
      <c r="BF529" s="474"/>
      <c r="BG529" s="474"/>
      <c r="BH529" s="474"/>
      <c r="BI529" s="474"/>
      <c r="BJ529" s="474"/>
      <c r="BK529" s="474"/>
      <c r="BL529" s="474"/>
      <c r="BM529" s="474"/>
      <c r="BN529" s="474"/>
      <c r="BO529" s="474"/>
      <c r="BP529" s="474"/>
      <c r="BQ529" s="474"/>
      <c r="BR529" s="474"/>
      <c r="BS529" s="474"/>
      <c r="BT529" s="474"/>
      <c r="BU529" s="474"/>
      <c r="BV529" s="474"/>
      <c r="BW529" s="474"/>
      <c r="BX529" s="474"/>
      <c r="BY529" s="474"/>
      <c r="BZ529" s="474"/>
    </row>
    <row r="530" spans="1:89" s="518" customFormat="1" ht="17.25" thickBot="1">
      <c r="A530" s="496" t="s">
        <v>371</v>
      </c>
      <c r="B530" s="497"/>
      <c r="C530" s="497"/>
      <c r="D530" s="517"/>
      <c r="E530" s="517"/>
      <c r="F530" s="517"/>
      <c r="G530" s="517"/>
      <c r="H530" s="517"/>
      <c r="I530" s="517"/>
      <c r="J530" s="517"/>
      <c r="K530" s="517"/>
      <c r="L530" s="517"/>
      <c r="M530" s="517"/>
      <c r="N530" s="517"/>
      <c r="O530" s="517"/>
      <c r="P530" s="517"/>
      <c r="Q530" s="517"/>
      <c r="R530" s="517"/>
      <c r="S530" s="517"/>
      <c r="T530" s="517"/>
      <c r="U530" s="517"/>
      <c r="V530" s="517"/>
      <c r="W530" s="517"/>
      <c r="X530" s="517"/>
      <c r="Y530" s="517"/>
      <c r="Z530" s="517"/>
      <c r="AA530" s="517"/>
      <c r="AB530" s="517"/>
      <c r="AC530" s="517"/>
      <c r="AD530" s="517"/>
      <c r="AE530" s="517"/>
      <c r="AF530" s="517"/>
      <c r="AG530" s="517"/>
      <c r="AH530" s="517"/>
      <c r="AI530" s="517"/>
      <c r="AJ530" s="517"/>
      <c r="AK530" s="517"/>
      <c r="AL530" s="517"/>
      <c r="AM530" s="517"/>
      <c r="AN530" s="517"/>
      <c r="AO530" s="517"/>
      <c r="AP530" s="517"/>
      <c r="AQ530" s="517"/>
      <c r="AR530" s="517"/>
      <c r="AS530" s="517"/>
      <c r="AT530" s="517"/>
      <c r="AU530" s="517"/>
      <c r="AV530" s="517"/>
      <c r="AW530" s="517"/>
      <c r="AX530" s="517"/>
      <c r="AY530" s="517"/>
      <c r="AZ530" s="517"/>
      <c r="BA530" s="517"/>
      <c r="BB530" s="517"/>
      <c r="BC530" s="517"/>
      <c r="BD530" s="517"/>
      <c r="BE530" s="517"/>
      <c r="BF530" s="517"/>
      <c r="BG530" s="517"/>
      <c r="BH530" s="517"/>
      <c r="BI530" s="517"/>
      <c r="BJ530" s="517"/>
      <c r="BK530" s="517"/>
      <c r="BL530" s="517"/>
      <c r="BM530" s="517"/>
      <c r="BN530" s="517"/>
      <c r="BO530" s="517"/>
      <c r="BP530" s="517"/>
      <c r="BQ530" s="517"/>
      <c r="BR530" s="517"/>
      <c r="BS530" s="517"/>
      <c r="BT530" s="517"/>
      <c r="BU530" s="517"/>
      <c r="BV530" s="517"/>
      <c r="BW530" s="517"/>
      <c r="BX530" s="517"/>
      <c r="BY530" s="517"/>
      <c r="BZ530" s="517"/>
      <c r="CA530" s="517"/>
      <c r="CB530" s="517"/>
      <c r="CC530" s="517"/>
      <c r="CD530" s="517"/>
      <c r="CE530" s="517"/>
      <c r="CF530" s="517"/>
      <c r="CG530" s="517"/>
      <c r="CH530" s="517"/>
      <c r="CI530" s="517"/>
      <c r="CJ530" s="517"/>
      <c r="CK530" s="517"/>
    </row>
    <row r="531" spans="1:89" s="518" customFormat="1" ht="15" customHeight="1">
      <c r="A531" s="285" t="s">
        <v>339</v>
      </c>
      <c r="B531" s="302" t="e">
        <f>B10</f>
        <v>#REF!</v>
      </c>
      <c r="C531" s="302" t="e">
        <f>C10</f>
        <v>#REF!</v>
      </c>
      <c r="D531" s="517"/>
      <c r="E531" s="517"/>
      <c r="F531" s="517"/>
      <c r="G531" s="517"/>
      <c r="H531" s="517"/>
      <c r="I531" s="517"/>
      <c r="J531" s="517"/>
      <c r="K531" s="517"/>
      <c r="L531" s="517"/>
      <c r="M531" s="517"/>
      <c r="N531" s="517"/>
      <c r="O531" s="517"/>
      <c r="P531" s="517"/>
      <c r="Q531" s="517"/>
      <c r="R531" s="517"/>
      <c r="S531" s="517"/>
      <c r="T531" s="517"/>
      <c r="U531" s="517"/>
      <c r="V531" s="517"/>
      <c r="W531" s="517"/>
      <c r="X531" s="517"/>
      <c r="Y531" s="517"/>
      <c r="Z531" s="517"/>
      <c r="AA531" s="517"/>
      <c r="AB531" s="517"/>
      <c r="AC531" s="517"/>
      <c r="AD531" s="517"/>
      <c r="AE531" s="517"/>
      <c r="AF531" s="517"/>
      <c r="AG531" s="517"/>
      <c r="AH531" s="517"/>
      <c r="AI531" s="517"/>
      <c r="AJ531" s="517"/>
      <c r="AK531" s="517"/>
      <c r="AL531" s="517"/>
      <c r="AM531" s="517"/>
      <c r="AN531" s="517"/>
      <c r="AO531" s="517"/>
      <c r="AP531" s="517"/>
      <c r="AQ531" s="517"/>
      <c r="AR531" s="517"/>
      <c r="AS531" s="517"/>
      <c r="AT531" s="517"/>
      <c r="AU531" s="517"/>
      <c r="AV531" s="517"/>
      <c r="AW531" s="517"/>
      <c r="AX531" s="517"/>
      <c r="AY531" s="517"/>
      <c r="AZ531" s="517"/>
      <c r="BA531" s="517"/>
      <c r="BB531" s="517"/>
      <c r="BC531" s="517"/>
      <c r="BD531" s="517"/>
      <c r="BE531" s="517"/>
      <c r="BF531" s="517"/>
      <c r="BG531" s="517"/>
      <c r="BH531" s="517"/>
      <c r="BI531" s="517"/>
      <c r="BJ531" s="517"/>
      <c r="BK531" s="517"/>
      <c r="BL531" s="517"/>
      <c r="BM531" s="517"/>
      <c r="BN531" s="517"/>
      <c r="BO531" s="517"/>
      <c r="BP531" s="517"/>
      <c r="BQ531" s="517"/>
      <c r="BR531" s="517"/>
      <c r="BS531" s="517"/>
      <c r="BT531" s="517"/>
      <c r="BU531" s="517"/>
      <c r="BV531" s="517"/>
      <c r="BW531" s="517"/>
      <c r="BX531" s="517"/>
      <c r="BY531" s="517"/>
      <c r="BZ531" s="517"/>
      <c r="CA531" s="517"/>
      <c r="CB531" s="517"/>
      <c r="CC531" s="517"/>
      <c r="CD531" s="517"/>
      <c r="CE531" s="517"/>
      <c r="CF531" s="517"/>
      <c r="CG531" s="517"/>
      <c r="CH531" s="517"/>
      <c r="CI531" s="517"/>
      <c r="CJ531" s="517"/>
      <c r="CK531" s="517"/>
    </row>
    <row r="532" spans="1:89" s="518" customFormat="1" ht="12.75">
      <c r="A532" s="235" t="s">
        <v>624</v>
      </c>
      <c r="B532" s="573">
        <f>B533+B539</f>
        <v>0</v>
      </c>
      <c r="C532" s="573">
        <f>C533+C539</f>
        <v>6561</v>
      </c>
      <c r="D532" s="517"/>
      <c r="E532" s="517"/>
      <c r="F532" s="517"/>
      <c r="G532" s="517"/>
      <c r="H532" s="517"/>
      <c r="I532" s="517"/>
      <c r="J532" s="517"/>
      <c r="K532" s="517"/>
      <c r="L532" s="517"/>
      <c r="M532" s="517"/>
      <c r="N532" s="517"/>
      <c r="O532" s="517"/>
      <c r="P532" s="517"/>
      <c r="Q532" s="517"/>
      <c r="R532" s="517"/>
      <c r="S532" s="517"/>
      <c r="T532" s="517"/>
      <c r="U532" s="517"/>
      <c r="V532" s="517"/>
      <c r="W532" s="517"/>
      <c r="X532" s="517"/>
      <c r="Y532" s="517"/>
      <c r="Z532" s="517"/>
      <c r="AA532" s="517"/>
      <c r="AB532" s="517"/>
      <c r="AC532" s="517"/>
      <c r="AD532" s="517"/>
      <c r="AE532" s="517"/>
      <c r="AF532" s="517"/>
      <c r="AG532" s="517"/>
      <c r="AH532" s="517"/>
      <c r="AI532" s="517"/>
      <c r="AJ532" s="517"/>
      <c r="AK532" s="517"/>
      <c r="AL532" s="517"/>
      <c r="AM532" s="517"/>
      <c r="AN532" s="517"/>
      <c r="AO532" s="517"/>
      <c r="AP532" s="517"/>
      <c r="AQ532" s="517"/>
      <c r="AR532" s="517"/>
      <c r="AS532" s="517"/>
      <c r="AT532" s="517"/>
      <c r="AU532" s="517"/>
      <c r="AV532" s="517"/>
      <c r="AW532" s="517"/>
      <c r="AX532" s="517"/>
      <c r="AY532" s="517"/>
      <c r="AZ532" s="517"/>
      <c r="BA532" s="517"/>
      <c r="BB532" s="517"/>
      <c r="BC532" s="517"/>
      <c r="BD532" s="517"/>
      <c r="BE532" s="517"/>
      <c r="BF532" s="517"/>
      <c r="BG532" s="517"/>
      <c r="BH532" s="517"/>
      <c r="BI532" s="517"/>
      <c r="BJ532" s="517"/>
      <c r="BK532" s="517"/>
      <c r="BL532" s="517"/>
      <c r="BM532" s="517"/>
      <c r="BN532" s="517"/>
      <c r="BO532" s="517"/>
      <c r="BP532" s="517"/>
      <c r="BQ532" s="517"/>
      <c r="BR532" s="517"/>
      <c r="BS532" s="517"/>
      <c r="BT532" s="517"/>
      <c r="BU532" s="517"/>
      <c r="BV532" s="517"/>
      <c r="BW532" s="517"/>
      <c r="BX532" s="517"/>
      <c r="BY532" s="517"/>
      <c r="BZ532" s="517"/>
      <c r="CA532" s="517"/>
      <c r="CB532" s="517"/>
      <c r="CC532" s="517"/>
      <c r="CD532" s="517"/>
      <c r="CE532" s="517"/>
      <c r="CF532" s="517"/>
      <c r="CG532" s="517"/>
      <c r="CH532" s="517"/>
      <c r="CI532" s="517"/>
      <c r="CJ532" s="517"/>
      <c r="CK532" s="517"/>
    </row>
    <row r="533" spans="1:89" s="518" customFormat="1" ht="12.75">
      <c r="A533" s="519" t="s">
        <v>134</v>
      </c>
      <c r="B533" s="574">
        <f>SUM(B534:B538)</f>
        <v>0</v>
      </c>
      <c r="C533" s="574">
        <f>SUM(C534:C538)</f>
        <v>0</v>
      </c>
      <c r="D533" s="517"/>
      <c r="E533" s="517"/>
      <c r="F533" s="517"/>
      <c r="G533" s="517"/>
      <c r="H533" s="517"/>
      <c r="I533" s="517"/>
      <c r="J533" s="517"/>
      <c r="K533" s="517"/>
      <c r="L533" s="517"/>
      <c r="M533" s="517"/>
      <c r="N533" s="517"/>
      <c r="O533" s="517"/>
      <c r="P533" s="517"/>
      <c r="Q533" s="517"/>
      <c r="R533" s="517"/>
      <c r="S533" s="517"/>
      <c r="T533" s="517"/>
      <c r="U533" s="517"/>
      <c r="V533" s="517"/>
      <c r="W533" s="517"/>
      <c r="X533" s="517"/>
      <c r="Y533" s="517"/>
      <c r="Z533" s="517"/>
      <c r="AA533" s="517"/>
      <c r="AB533" s="517"/>
      <c r="AC533" s="517"/>
      <c r="AD533" s="517"/>
      <c r="AE533" s="517"/>
      <c r="AF533" s="517"/>
      <c r="AG533" s="517"/>
      <c r="AH533" s="517"/>
      <c r="AI533" s="517"/>
      <c r="AJ533" s="517"/>
      <c r="AK533" s="517"/>
      <c r="AL533" s="517"/>
      <c r="AM533" s="517"/>
      <c r="AN533" s="517"/>
      <c r="AO533" s="517"/>
      <c r="AP533" s="517"/>
      <c r="AQ533" s="517"/>
      <c r="AR533" s="517"/>
      <c r="AS533" s="517"/>
      <c r="AT533" s="517"/>
      <c r="AU533" s="517"/>
      <c r="AV533" s="517"/>
      <c r="AW533" s="517"/>
      <c r="AX533" s="517"/>
      <c r="AY533" s="517"/>
      <c r="AZ533" s="517"/>
      <c r="BA533" s="517"/>
      <c r="BB533" s="517"/>
      <c r="BC533" s="517"/>
      <c r="BD533" s="517"/>
      <c r="BE533" s="517"/>
      <c r="BF533" s="517"/>
      <c r="BG533" s="517"/>
      <c r="BH533" s="517"/>
      <c r="BI533" s="517"/>
      <c r="BJ533" s="517"/>
      <c r="BK533" s="517"/>
      <c r="BL533" s="517"/>
      <c r="BM533" s="517"/>
      <c r="BN533" s="517"/>
      <c r="BO533" s="517"/>
      <c r="BP533" s="517"/>
      <c r="BQ533" s="517"/>
      <c r="BR533" s="517"/>
      <c r="BS533" s="517"/>
      <c r="BT533" s="517"/>
      <c r="BU533" s="517"/>
      <c r="BV533" s="517"/>
      <c r="BW533" s="517"/>
      <c r="BX533" s="517"/>
      <c r="BY533" s="517"/>
      <c r="BZ533" s="517"/>
      <c r="CA533" s="517"/>
      <c r="CB533" s="517"/>
      <c r="CC533" s="517"/>
      <c r="CD533" s="517"/>
      <c r="CE533" s="517"/>
      <c r="CF533" s="517"/>
      <c r="CG533" s="517"/>
      <c r="CH533" s="517"/>
      <c r="CI533" s="517"/>
      <c r="CJ533" s="517"/>
      <c r="CK533" s="517"/>
    </row>
    <row r="534" spans="1:89" s="518" customFormat="1" ht="12.75" hidden="1">
      <c r="A534" s="370" t="s">
        <v>301</v>
      </c>
      <c r="B534" s="575"/>
      <c r="C534" s="575"/>
      <c r="D534" s="517"/>
      <c r="E534" s="517"/>
      <c r="F534" s="517"/>
      <c r="G534" s="517"/>
      <c r="H534" s="517"/>
      <c r="I534" s="517"/>
      <c r="J534" s="517"/>
      <c r="K534" s="517"/>
      <c r="L534" s="517"/>
      <c r="M534" s="517"/>
      <c r="N534" s="517"/>
      <c r="O534" s="517"/>
      <c r="P534" s="517"/>
      <c r="Q534" s="517"/>
      <c r="R534" s="517"/>
      <c r="S534" s="517"/>
      <c r="T534" s="517"/>
      <c r="U534" s="517"/>
      <c r="V534" s="517"/>
      <c r="W534" s="517"/>
      <c r="X534" s="517"/>
      <c r="Y534" s="517"/>
      <c r="Z534" s="517"/>
      <c r="AA534" s="517"/>
      <c r="AB534" s="517"/>
      <c r="AC534" s="517"/>
      <c r="AD534" s="517"/>
      <c r="AE534" s="517"/>
      <c r="AF534" s="517"/>
      <c r="AG534" s="517"/>
      <c r="AH534" s="517"/>
      <c r="AI534" s="517"/>
      <c r="AJ534" s="517"/>
      <c r="AK534" s="517"/>
      <c r="AL534" s="517"/>
      <c r="AM534" s="517"/>
      <c r="AN534" s="517"/>
      <c r="AO534" s="517"/>
      <c r="AP534" s="517"/>
      <c r="AQ534" s="517"/>
      <c r="AR534" s="517"/>
      <c r="AS534" s="517"/>
      <c r="AT534" s="517"/>
      <c r="AU534" s="517"/>
      <c r="AV534" s="517"/>
      <c r="AW534" s="517"/>
      <c r="AX534" s="517"/>
      <c r="AY534" s="517"/>
      <c r="AZ534" s="517"/>
      <c r="BA534" s="517"/>
      <c r="BB534" s="517"/>
      <c r="BC534" s="517"/>
      <c r="BD534" s="517"/>
      <c r="BE534" s="517"/>
      <c r="BF534" s="517"/>
      <c r="BG534" s="517"/>
      <c r="BH534" s="517"/>
      <c r="BI534" s="517"/>
      <c r="BJ534" s="517"/>
      <c r="BK534" s="517"/>
      <c r="BL534" s="517"/>
      <c r="BM534" s="517"/>
      <c r="BN534" s="517"/>
      <c r="BO534" s="517"/>
      <c r="BP534" s="517"/>
      <c r="BQ534" s="517"/>
      <c r="BR534" s="517"/>
      <c r="BS534" s="517"/>
      <c r="BT534" s="517"/>
      <c r="BU534" s="517"/>
      <c r="BV534" s="517"/>
      <c r="BW534" s="517"/>
      <c r="BX534" s="517"/>
      <c r="BY534" s="517"/>
      <c r="BZ534" s="517"/>
      <c r="CA534" s="517"/>
      <c r="CB534" s="517"/>
      <c r="CC534" s="517"/>
      <c r="CD534" s="517"/>
      <c r="CE534" s="517"/>
      <c r="CF534" s="517"/>
      <c r="CG534" s="517"/>
      <c r="CH534" s="517"/>
      <c r="CI534" s="517"/>
      <c r="CJ534" s="517"/>
      <c r="CK534" s="517"/>
    </row>
    <row r="535" spans="1:89" s="518" customFormat="1" ht="12.75" hidden="1">
      <c r="A535" s="370" t="s">
        <v>135</v>
      </c>
      <c r="B535" s="575"/>
      <c r="C535" s="575"/>
      <c r="D535" s="517"/>
      <c r="E535" s="517"/>
      <c r="F535" s="517"/>
      <c r="G535" s="517"/>
      <c r="H535" s="517"/>
      <c r="I535" s="517"/>
      <c r="J535" s="517"/>
      <c r="K535" s="517"/>
      <c r="L535" s="517"/>
      <c r="M535" s="517"/>
      <c r="N535" s="517"/>
      <c r="O535" s="517"/>
      <c r="P535" s="517"/>
      <c r="Q535" s="517"/>
      <c r="R535" s="517"/>
      <c r="S535" s="517"/>
      <c r="T535" s="517"/>
      <c r="U535" s="517"/>
      <c r="V535" s="517"/>
      <c r="W535" s="517"/>
      <c r="X535" s="517"/>
      <c r="Y535" s="517"/>
      <c r="Z535" s="517"/>
      <c r="AA535" s="517"/>
      <c r="AB535" s="517"/>
      <c r="AC535" s="517"/>
      <c r="AD535" s="517"/>
      <c r="AE535" s="517"/>
      <c r="AF535" s="517"/>
      <c r="AG535" s="517"/>
      <c r="AH535" s="517"/>
      <c r="AI535" s="517"/>
      <c r="AJ535" s="517"/>
      <c r="AK535" s="517"/>
      <c r="AL535" s="517"/>
      <c r="AM535" s="517"/>
      <c r="AN535" s="517"/>
      <c r="AO535" s="517"/>
      <c r="AP535" s="517"/>
      <c r="AQ535" s="517"/>
      <c r="AR535" s="517"/>
      <c r="AS535" s="517"/>
      <c r="AT535" s="517"/>
      <c r="AU535" s="517"/>
      <c r="AV535" s="517"/>
      <c r="AW535" s="517"/>
      <c r="AX535" s="517"/>
      <c r="AY535" s="517"/>
      <c r="AZ535" s="517"/>
      <c r="BA535" s="517"/>
      <c r="BB535" s="517"/>
      <c r="BC535" s="517"/>
      <c r="BD535" s="517"/>
      <c r="BE535" s="517"/>
      <c r="BF535" s="517"/>
      <c r="BG535" s="517"/>
      <c r="BH535" s="517"/>
      <c r="BI535" s="517"/>
      <c r="BJ535" s="517"/>
      <c r="BK535" s="517"/>
      <c r="BL535" s="517"/>
      <c r="BM535" s="517"/>
      <c r="BN535" s="517"/>
      <c r="BO535" s="517"/>
      <c r="BP535" s="517"/>
      <c r="BQ535" s="517"/>
      <c r="BR535" s="517"/>
      <c r="BS535" s="517"/>
      <c r="BT535" s="517"/>
      <c r="BU535" s="517"/>
      <c r="BV535" s="517"/>
      <c r="BW535" s="517"/>
      <c r="BX535" s="517"/>
      <c r="BY535" s="517"/>
      <c r="BZ535" s="517"/>
      <c r="CA535" s="517"/>
      <c r="CB535" s="517"/>
      <c r="CC535" s="517"/>
      <c r="CD535" s="517"/>
      <c r="CE535" s="517"/>
      <c r="CF535" s="517"/>
      <c r="CG535" s="517"/>
      <c r="CH535" s="517"/>
      <c r="CI535" s="517"/>
      <c r="CJ535" s="517"/>
      <c r="CK535" s="517"/>
    </row>
    <row r="536" spans="1:89" s="518" customFormat="1" ht="12.75" hidden="1">
      <c r="A536" s="370" t="s">
        <v>136</v>
      </c>
      <c r="B536" s="576"/>
      <c r="C536" s="576"/>
      <c r="D536" s="517"/>
      <c r="E536" s="517"/>
      <c r="F536" s="517"/>
      <c r="G536" s="517"/>
      <c r="H536" s="517"/>
      <c r="I536" s="517"/>
      <c r="J536" s="517"/>
      <c r="K536" s="517"/>
      <c r="L536" s="517"/>
      <c r="M536" s="517"/>
      <c r="N536" s="517"/>
      <c r="O536" s="517"/>
      <c r="P536" s="517"/>
      <c r="Q536" s="517"/>
      <c r="R536" s="517"/>
      <c r="S536" s="517"/>
      <c r="T536" s="517"/>
      <c r="U536" s="517"/>
      <c r="V536" s="517"/>
      <c r="W536" s="517"/>
      <c r="X536" s="517"/>
      <c r="Y536" s="517"/>
      <c r="Z536" s="517"/>
      <c r="AA536" s="517"/>
      <c r="AB536" s="517"/>
      <c r="AC536" s="517"/>
      <c r="AD536" s="517"/>
      <c r="AE536" s="517"/>
      <c r="AF536" s="517"/>
      <c r="AG536" s="517"/>
      <c r="AH536" s="517"/>
      <c r="AI536" s="517"/>
      <c r="AJ536" s="517"/>
      <c r="AK536" s="517"/>
      <c r="AL536" s="517"/>
      <c r="AM536" s="517"/>
      <c r="AN536" s="517"/>
      <c r="AO536" s="517"/>
      <c r="AP536" s="517"/>
      <c r="AQ536" s="517"/>
      <c r="AR536" s="517"/>
      <c r="AS536" s="517"/>
      <c r="AT536" s="517"/>
      <c r="AU536" s="517"/>
      <c r="AV536" s="517"/>
      <c r="AW536" s="517"/>
      <c r="AX536" s="517"/>
      <c r="AY536" s="517"/>
      <c r="AZ536" s="517"/>
      <c r="BA536" s="517"/>
      <c r="BB536" s="517"/>
      <c r="BC536" s="517"/>
      <c r="BD536" s="517"/>
      <c r="BE536" s="517"/>
      <c r="BF536" s="517"/>
      <c r="BG536" s="517"/>
      <c r="BH536" s="517"/>
      <c r="BI536" s="517"/>
      <c r="BJ536" s="517"/>
      <c r="BK536" s="517"/>
      <c r="BL536" s="517"/>
      <c r="BM536" s="517"/>
      <c r="BN536" s="517"/>
      <c r="BO536" s="517"/>
      <c r="BP536" s="517"/>
      <c r="BQ536" s="517"/>
      <c r="BR536" s="517"/>
      <c r="BS536" s="517"/>
      <c r="BT536" s="517"/>
      <c r="BU536" s="517"/>
      <c r="BV536" s="517"/>
      <c r="BW536" s="517"/>
      <c r="BX536" s="517"/>
      <c r="BY536" s="517"/>
      <c r="BZ536" s="517"/>
      <c r="CA536" s="517"/>
      <c r="CB536" s="517"/>
      <c r="CC536" s="517"/>
      <c r="CD536" s="517"/>
      <c r="CE536" s="517"/>
      <c r="CF536" s="517"/>
      <c r="CG536" s="517"/>
      <c r="CH536" s="517"/>
      <c r="CI536" s="517"/>
      <c r="CJ536" s="517"/>
      <c r="CK536" s="517"/>
    </row>
    <row r="537" spans="1:3" s="296" customFormat="1" ht="12" hidden="1">
      <c r="A537" s="370" t="s">
        <v>49</v>
      </c>
      <c r="B537" s="491"/>
      <c r="C537" s="491"/>
    </row>
    <row r="538" spans="1:3" s="296" customFormat="1" ht="12" hidden="1">
      <c r="A538" s="370" t="s">
        <v>97</v>
      </c>
      <c r="B538" s="491"/>
      <c r="C538" s="491"/>
    </row>
    <row r="539" spans="1:3" s="296" customFormat="1" ht="12">
      <c r="A539" s="519" t="s">
        <v>890</v>
      </c>
      <c r="B539" s="520">
        <f>SUM(B540:B546)</f>
        <v>0</v>
      </c>
      <c r="C539" s="520">
        <f>SUM(C540:C546)</f>
        <v>6561</v>
      </c>
    </row>
    <row r="540" spans="1:3" s="296" customFormat="1" ht="12">
      <c r="A540" s="370" t="s">
        <v>301</v>
      </c>
      <c r="B540" s="491"/>
      <c r="C540" s="491">
        <v>405</v>
      </c>
    </row>
    <row r="541" spans="1:3" s="296" customFormat="1" ht="12">
      <c r="A541" s="370" t="s">
        <v>135</v>
      </c>
      <c r="B541" s="491"/>
      <c r="C541" s="491">
        <v>2329</v>
      </c>
    </row>
    <row r="542" spans="1:3" s="296" customFormat="1" ht="12">
      <c r="A542" s="370" t="s">
        <v>136</v>
      </c>
      <c r="B542" s="491"/>
      <c r="C542" s="491">
        <v>569</v>
      </c>
    </row>
    <row r="543" spans="1:3" s="296" customFormat="1" ht="12">
      <c r="A543" s="370" t="s">
        <v>95</v>
      </c>
      <c r="B543" s="491"/>
      <c r="C543" s="491">
        <f>2791-1964+168</f>
        <v>995</v>
      </c>
    </row>
    <row r="544" spans="1:3" s="296" customFormat="1" ht="12">
      <c r="A544" s="370" t="s">
        <v>96</v>
      </c>
      <c r="B544" s="491"/>
      <c r="C544" s="491">
        <f>500+1464+299</f>
        <v>2263</v>
      </c>
    </row>
    <row r="545" spans="1:3" s="296" customFormat="1" ht="12">
      <c r="A545" s="370" t="s">
        <v>12</v>
      </c>
      <c r="B545" s="491">
        <v>0</v>
      </c>
      <c r="C545" s="491">
        <v>0</v>
      </c>
    </row>
    <row r="546" spans="1:3" s="296" customFormat="1" ht="12">
      <c r="A546" s="370" t="s">
        <v>97</v>
      </c>
      <c r="B546" s="521">
        <v>0</v>
      </c>
      <c r="C546" s="491">
        <v>0</v>
      </c>
    </row>
    <row r="547" spans="1:3" s="296" customFormat="1" ht="12">
      <c r="A547" s="235" t="s">
        <v>625</v>
      </c>
      <c r="B547" s="489">
        <f>B548+B551</f>
        <v>0</v>
      </c>
      <c r="C547" s="489">
        <f>C548+C551</f>
        <v>2187</v>
      </c>
    </row>
    <row r="548" spans="1:3" s="296" customFormat="1" ht="12">
      <c r="A548" s="522" t="s">
        <v>134</v>
      </c>
      <c r="B548" s="520">
        <f>SUM(B549:B550)</f>
        <v>0</v>
      </c>
      <c r="C548" s="520">
        <f>SUM(C549:C550)</f>
        <v>0</v>
      </c>
    </row>
    <row r="549" spans="1:3" s="296" customFormat="1" ht="12" customHeight="1" hidden="1">
      <c r="A549" s="213" t="s">
        <v>98</v>
      </c>
      <c r="B549" s="491"/>
      <c r="C549" s="491"/>
    </row>
    <row r="550" spans="1:3" s="296" customFormat="1" ht="12" customHeight="1" hidden="1">
      <c r="A550" s="370" t="s">
        <v>97</v>
      </c>
      <c r="B550" s="491"/>
      <c r="C550" s="491"/>
    </row>
    <row r="551" spans="1:3" s="296" customFormat="1" ht="12">
      <c r="A551" s="522" t="s">
        <v>890</v>
      </c>
      <c r="B551" s="520">
        <f>SUM(B552:B554)</f>
        <v>0</v>
      </c>
      <c r="C551" s="520">
        <f>SUM(C552:C554)</f>
        <v>2187</v>
      </c>
    </row>
    <row r="552" spans="1:3" s="296" customFormat="1" ht="12" hidden="1">
      <c r="A552" s="213" t="s">
        <v>194</v>
      </c>
      <c r="B552" s="491"/>
      <c r="C552" s="491"/>
    </row>
    <row r="553" spans="1:3" s="296" customFormat="1" ht="12">
      <c r="A553" s="370" t="s">
        <v>270</v>
      </c>
      <c r="B553" s="491"/>
      <c r="C553" s="491">
        <v>2187</v>
      </c>
    </row>
    <row r="554" spans="1:3" s="296" customFormat="1" ht="12" hidden="1">
      <c r="A554" s="370" t="s">
        <v>97</v>
      </c>
      <c r="B554" s="491"/>
      <c r="C554" s="491"/>
    </row>
    <row r="555" spans="1:3" s="296" customFormat="1" ht="12.75" thickBot="1">
      <c r="A555" s="234" t="s">
        <v>195</v>
      </c>
      <c r="B555" s="338">
        <f>B532+B547</f>
        <v>0</v>
      </c>
      <c r="C555" s="338">
        <f>C532+C547</f>
        <v>8748</v>
      </c>
    </row>
    <row r="556" spans="1:78" s="475" customFormat="1" ht="12.75">
      <c r="A556" s="512"/>
      <c r="B556" s="523"/>
      <c r="C556" s="462"/>
      <c r="D556" s="474"/>
      <c r="E556" s="474"/>
      <c r="F556" s="474"/>
      <c r="G556" s="474"/>
      <c r="H556" s="474"/>
      <c r="I556" s="474"/>
      <c r="J556" s="474"/>
      <c r="K556" s="474"/>
      <c r="L556" s="474"/>
      <c r="M556" s="474"/>
      <c r="N556" s="474"/>
      <c r="O556" s="474"/>
      <c r="P556" s="474"/>
      <c r="Q556" s="474"/>
      <c r="R556" s="474"/>
      <c r="S556" s="474"/>
      <c r="T556" s="474"/>
      <c r="U556" s="474"/>
      <c r="V556" s="474"/>
      <c r="W556" s="474"/>
      <c r="X556" s="474"/>
      <c r="Y556" s="474"/>
      <c r="Z556" s="474"/>
      <c r="AA556" s="474"/>
      <c r="AB556" s="474"/>
      <c r="AC556" s="474"/>
      <c r="AD556" s="474"/>
      <c r="AE556" s="474"/>
      <c r="AF556" s="474"/>
      <c r="AG556" s="474"/>
      <c r="AH556" s="474"/>
      <c r="AI556" s="474"/>
      <c r="AJ556" s="474"/>
      <c r="AK556" s="474"/>
      <c r="AL556" s="474"/>
      <c r="AM556" s="474"/>
      <c r="AN556" s="474"/>
      <c r="AO556" s="474"/>
      <c r="AP556" s="474"/>
      <c r="AQ556" s="474"/>
      <c r="AR556" s="474"/>
      <c r="AS556" s="474"/>
      <c r="AT556" s="474"/>
      <c r="AU556" s="474"/>
      <c r="AV556" s="474"/>
      <c r="AW556" s="474"/>
      <c r="AX556" s="474"/>
      <c r="AY556" s="474"/>
      <c r="AZ556" s="474"/>
      <c r="BA556" s="474"/>
      <c r="BB556" s="474"/>
      <c r="BC556" s="474"/>
      <c r="BD556" s="474"/>
      <c r="BE556" s="474"/>
      <c r="BF556" s="474"/>
      <c r="BG556" s="474"/>
      <c r="BH556" s="474"/>
      <c r="BI556" s="474"/>
      <c r="BJ556" s="474"/>
      <c r="BK556" s="474"/>
      <c r="BL556" s="474"/>
      <c r="BM556" s="474"/>
      <c r="BN556" s="474"/>
      <c r="BO556" s="474"/>
      <c r="BP556" s="474"/>
      <c r="BQ556" s="474"/>
      <c r="BR556" s="474"/>
      <c r="BS556" s="474"/>
      <c r="BT556" s="474"/>
      <c r="BU556" s="474"/>
      <c r="BV556" s="474"/>
      <c r="BW556" s="474"/>
      <c r="BX556" s="474"/>
      <c r="BY556" s="474"/>
      <c r="BZ556" s="474"/>
    </row>
    <row r="557" spans="1:78" s="475" customFormat="1" ht="18" thickBot="1">
      <c r="A557" s="107" t="s">
        <v>813</v>
      </c>
      <c r="B557" s="524"/>
      <c r="C557" s="462"/>
      <c r="D557" s="474"/>
      <c r="E557" s="474"/>
      <c r="F557" s="474"/>
      <c r="G557" s="474"/>
      <c r="H557" s="474"/>
      <c r="I557" s="474"/>
      <c r="J557" s="474"/>
      <c r="K557" s="474"/>
      <c r="L557" s="474"/>
      <c r="M557" s="474"/>
      <c r="N557" s="474"/>
      <c r="O557" s="474"/>
      <c r="P557" s="474"/>
      <c r="Q557" s="474"/>
      <c r="R557" s="474"/>
      <c r="S557" s="474"/>
      <c r="T557" s="474"/>
      <c r="U557" s="474"/>
      <c r="V557" s="474"/>
      <c r="W557" s="474"/>
      <c r="X557" s="474"/>
      <c r="Y557" s="474"/>
      <c r="Z557" s="474"/>
      <c r="AA557" s="474"/>
      <c r="AB557" s="474"/>
      <c r="AC557" s="474"/>
      <c r="AD557" s="474"/>
      <c r="AE557" s="474"/>
      <c r="AF557" s="474"/>
      <c r="AG557" s="474"/>
      <c r="AH557" s="474"/>
      <c r="AI557" s="474"/>
      <c r="AJ557" s="474"/>
      <c r="AK557" s="474"/>
      <c r="AL557" s="474"/>
      <c r="AM557" s="474"/>
      <c r="AN557" s="474"/>
      <c r="AO557" s="474"/>
      <c r="AP557" s="474"/>
      <c r="AQ557" s="474"/>
      <c r="AR557" s="474"/>
      <c r="AS557" s="474"/>
      <c r="AT557" s="474"/>
      <c r="AU557" s="474"/>
      <c r="AV557" s="474"/>
      <c r="AW557" s="474"/>
      <c r="AX557" s="474"/>
      <c r="AY557" s="474"/>
      <c r="AZ557" s="474"/>
      <c r="BA557" s="474"/>
      <c r="BB557" s="474"/>
      <c r="BC557" s="474"/>
      <c r="BD557" s="474"/>
      <c r="BE557" s="474"/>
      <c r="BF557" s="474"/>
      <c r="BG557" s="474"/>
      <c r="BH557" s="474"/>
      <c r="BI557" s="474"/>
      <c r="BJ557" s="474"/>
      <c r="BK557" s="474"/>
      <c r="BL557" s="474"/>
      <c r="BM557" s="474"/>
      <c r="BN557" s="474"/>
      <c r="BO557" s="474"/>
      <c r="BP557" s="474"/>
      <c r="BQ557" s="474"/>
      <c r="BR557" s="474"/>
      <c r="BS557" s="474"/>
      <c r="BT557" s="474"/>
      <c r="BU557" s="474"/>
      <c r="BV557" s="474"/>
      <c r="BW557" s="474"/>
      <c r="BX557" s="474"/>
      <c r="BY557" s="474"/>
      <c r="BZ557" s="474"/>
    </row>
    <row r="558" spans="1:78" s="475" customFormat="1" ht="24" customHeight="1">
      <c r="A558" s="132" t="s">
        <v>913</v>
      </c>
      <c r="B558" s="60" t="e">
        <f>B10</f>
        <v>#REF!</v>
      </c>
      <c r="C558" s="60" t="e">
        <f>C10</f>
        <v>#REF!</v>
      </c>
      <c r="D558" s="474"/>
      <c r="E558" s="474"/>
      <c r="F558" s="474"/>
      <c r="G558" s="474"/>
      <c r="H558" s="474"/>
      <c r="I558" s="474"/>
      <c r="J558" s="474"/>
      <c r="K558" s="474"/>
      <c r="L558" s="474"/>
      <c r="M558" s="474"/>
      <c r="N558" s="474"/>
      <c r="O558" s="474"/>
      <c r="P558" s="474"/>
      <c r="Q558" s="474"/>
      <c r="R558" s="474"/>
      <c r="S558" s="474"/>
      <c r="T558" s="474"/>
      <c r="U558" s="474"/>
      <c r="V558" s="474"/>
      <c r="W558" s="474"/>
      <c r="X558" s="474"/>
      <c r="Y558" s="474"/>
      <c r="Z558" s="474"/>
      <c r="AA558" s="474"/>
      <c r="AB558" s="474"/>
      <c r="AC558" s="474"/>
      <c r="AD558" s="474"/>
      <c r="AE558" s="474"/>
      <c r="AF558" s="474"/>
      <c r="AG558" s="474"/>
      <c r="AH558" s="474"/>
      <c r="AI558" s="474"/>
      <c r="AJ558" s="474"/>
      <c r="AK558" s="474"/>
      <c r="AL558" s="474"/>
      <c r="AM558" s="474"/>
      <c r="AN558" s="474"/>
      <c r="AO558" s="474"/>
      <c r="AP558" s="474"/>
      <c r="AQ558" s="474"/>
      <c r="AR558" s="474"/>
      <c r="AS558" s="474"/>
      <c r="AT558" s="474"/>
      <c r="AU558" s="474"/>
      <c r="AV558" s="474"/>
      <c r="AW558" s="474"/>
      <c r="AX558" s="474"/>
      <c r="AY558" s="474"/>
      <c r="AZ558" s="474"/>
      <c r="BA558" s="474"/>
      <c r="BB558" s="474"/>
      <c r="BC558" s="474"/>
      <c r="BD558" s="474"/>
      <c r="BE558" s="474"/>
      <c r="BF558" s="474"/>
      <c r="BG558" s="474"/>
      <c r="BH558" s="474"/>
      <c r="BI558" s="474"/>
      <c r="BJ558" s="474"/>
      <c r="BK558" s="474"/>
      <c r="BL558" s="474"/>
      <c r="BM558" s="474"/>
      <c r="BN558" s="474"/>
      <c r="BO558" s="474"/>
      <c r="BP558" s="474"/>
      <c r="BQ558" s="474"/>
      <c r="BR558" s="474"/>
      <c r="BS558" s="474"/>
      <c r="BT558" s="474"/>
      <c r="BU558" s="474"/>
      <c r="BV558" s="474"/>
      <c r="BW558" s="474"/>
      <c r="BX558" s="474"/>
      <c r="BY558" s="474"/>
      <c r="BZ558" s="474"/>
    </row>
    <row r="559" spans="1:78" s="475" customFormat="1" ht="12.75">
      <c r="A559" s="133" t="s">
        <v>487</v>
      </c>
      <c r="B559" s="542"/>
      <c r="C559" s="542">
        <v>566249</v>
      </c>
      <c r="D559" s="474"/>
      <c r="E559" s="474"/>
      <c r="F559" s="474"/>
      <c r="G559" s="474"/>
      <c r="H559" s="474"/>
      <c r="I559" s="474"/>
      <c r="J559" s="474"/>
      <c r="K559" s="474"/>
      <c r="L559" s="474"/>
      <c r="M559" s="474"/>
      <c r="N559" s="474"/>
      <c r="O559" s="474"/>
      <c r="P559" s="474"/>
      <c r="Q559" s="474"/>
      <c r="R559" s="474"/>
      <c r="S559" s="474"/>
      <c r="T559" s="474"/>
      <c r="U559" s="474"/>
      <c r="V559" s="474"/>
      <c r="W559" s="474"/>
      <c r="X559" s="474"/>
      <c r="Y559" s="474"/>
      <c r="Z559" s="474"/>
      <c r="AA559" s="474"/>
      <c r="AB559" s="474"/>
      <c r="AC559" s="474"/>
      <c r="AD559" s="474"/>
      <c r="AE559" s="474"/>
      <c r="AF559" s="474"/>
      <c r="AG559" s="474"/>
      <c r="AH559" s="474"/>
      <c r="AI559" s="474"/>
      <c r="AJ559" s="474"/>
      <c r="AK559" s="474"/>
      <c r="AL559" s="474"/>
      <c r="AM559" s="474"/>
      <c r="AN559" s="474"/>
      <c r="AO559" s="474"/>
      <c r="AP559" s="474"/>
      <c r="AQ559" s="474"/>
      <c r="AR559" s="474"/>
      <c r="AS559" s="474"/>
      <c r="AT559" s="474"/>
      <c r="AU559" s="474"/>
      <c r="AV559" s="474"/>
      <c r="AW559" s="474"/>
      <c r="AX559" s="474"/>
      <c r="AY559" s="474"/>
      <c r="AZ559" s="474"/>
      <c r="BA559" s="474"/>
      <c r="BB559" s="474"/>
      <c r="BC559" s="474"/>
      <c r="BD559" s="474"/>
      <c r="BE559" s="474"/>
      <c r="BF559" s="474"/>
      <c r="BG559" s="474"/>
      <c r="BH559" s="474"/>
      <c r="BI559" s="474"/>
      <c r="BJ559" s="474"/>
      <c r="BK559" s="474"/>
      <c r="BL559" s="474"/>
      <c r="BM559" s="474"/>
      <c r="BN559" s="474"/>
      <c r="BO559" s="474"/>
      <c r="BP559" s="474"/>
      <c r="BQ559" s="474"/>
      <c r="BR559" s="474"/>
      <c r="BS559" s="474"/>
      <c r="BT559" s="474"/>
      <c r="BU559" s="474"/>
      <c r="BV559" s="474"/>
      <c r="BW559" s="474"/>
      <c r="BX559" s="474"/>
      <c r="BY559" s="474"/>
      <c r="BZ559" s="474"/>
    </row>
    <row r="560" spans="1:78" s="475" customFormat="1" ht="12.75">
      <c r="A560" s="133" t="s">
        <v>24</v>
      </c>
      <c r="B560" s="543">
        <v>25530098</v>
      </c>
      <c r="C560" s="543">
        <v>25530098</v>
      </c>
      <c r="D560" s="474"/>
      <c r="E560" s="474"/>
      <c r="F560" s="474"/>
      <c r="G560" s="474"/>
      <c r="H560" s="474"/>
      <c r="I560" s="474"/>
      <c r="J560" s="474"/>
      <c r="K560" s="474"/>
      <c r="L560" s="474"/>
      <c r="M560" s="474"/>
      <c r="N560" s="474"/>
      <c r="O560" s="474"/>
      <c r="P560" s="474"/>
      <c r="Q560" s="474"/>
      <c r="R560" s="474"/>
      <c r="S560" s="474"/>
      <c r="T560" s="474"/>
      <c r="U560" s="474"/>
      <c r="V560" s="474"/>
      <c r="W560" s="474"/>
      <c r="X560" s="474"/>
      <c r="Y560" s="474"/>
      <c r="Z560" s="474"/>
      <c r="AA560" s="474"/>
      <c r="AB560" s="474"/>
      <c r="AC560" s="474"/>
      <c r="AD560" s="474"/>
      <c r="AE560" s="474"/>
      <c r="AF560" s="474"/>
      <c r="AG560" s="474"/>
      <c r="AH560" s="474"/>
      <c r="AI560" s="474"/>
      <c r="AJ560" s="474"/>
      <c r="AK560" s="474"/>
      <c r="AL560" s="474"/>
      <c r="AM560" s="474"/>
      <c r="AN560" s="474"/>
      <c r="AO560" s="474"/>
      <c r="AP560" s="474"/>
      <c r="AQ560" s="474"/>
      <c r="AR560" s="474"/>
      <c r="AS560" s="474"/>
      <c r="AT560" s="474"/>
      <c r="AU560" s="474"/>
      <c r="AV560" s="474"/>
      <c r="AW560" s="474"/>
      <c r="AX560" s="474"/>
      <c r="AY560" s="474"/>
      <c r="AZ560" s="474"/>
      <c r="BA560" s="474"/>
      <c r="BB560" s="474"/>
      <c r="BC560" s="474"/>
      <c r="BD560" s="474"/>
      <c r="BE560" s="474"/>
      <c r="BF560" s="474"/>
      <c r="BG560" s="474"/>
      <c r="BH560" s="474"/>
      <c r="BI560" s="474"/>
      <c r="BJ560" s="474"/>
      <c r="BK560" s="474"/>
      <c r="BL560" s="474"/>
      <c r="BM560" s="474"/>
      <c r="BN560" s="474"/>
      <c r="BO560" s="474"/>
      <c r="BP560" s="474"/>
      <c r="BQ560" s="474"/>
      <c r="BR560" s="474"/>
      <c r="BS560" s="474"/>
      <c r="BT560" s="474"/>
      <c r="BU560" s="474"/>
      <c r="BV560" s="474"/>
      <c r="BW560" s="474"/>
      <c r="BX560" s="474"/>
      <c r="BY560" s="474"/>
      <c r="BZ560" s="474"/>
    </row>
    <row r="561" spans="1:78" s="475" customFormat="1" ht="12.75">
      <c r="A561" s="135" t="s">
        <v>429</v>
      </c>
      <c r="B561" s="544">
        <f>(B559*1000)/B560</f>
        <v>0</v>
      </c>
      <c r="C561" s="544">
        <f>(C559*1000)/C560</f>
        <v>22.17966417520215</v>
      </c>
      <c r="D561" s="474"/>
      <c r="E561" s="474"/>
      <c r="F561" s="474"/>
      <c r="G561" s="474"/>
      <c r="H561" s="474"/>
      <c r="I561" s="474"/>
      <c r="J561" s="474"/>
      <c r="K561" s="474"/>
      <c r="L561" s="474"/>
      <c r="M561" s="474"/>
      <c r="N561" s="474"/>
      <c r="O561" s="474"/>
      <c r="P561" s="474"/>
      <c r="Q561" s="474"/>
      <c r="R561" s="474"/>
      <c r="S561" s="474"/>
      <c r="T561" s="474"/>
      <c r="U561" s="474"/>
      <c r="V561" s="474"/>
      <c r="W561" s="474"/>
      <c r="X561" s="474"/>
      <c r="Y561" s="474"/>
      <c r="Z561" s="474"/>
      <c r="AA561" s="474"/>
      <c r="AB561" s="474"/>
      <c r="AC561" s="474"/>
      <c r="AD561" s="474"/>
      <c r="AE561" s="474"/>
      <c r="AF561" s="474"/>
      <c r="AG561" s="474"/>
      <c r="AH561" s="474"/>
      <c r="AI561" s="474"/>
      <c r="AJ561" s="474"/>
      <c r="AK561" s="474"/>
      <c r="AL561" s="474"/>
      <c r="AM561" s="474"/>
      <c r="AN561" s="474"/>
      <c r="AO561" s="474"/>
      <c r="AP561" s="474"/>
      <c r="AQ561" s="474"/>
      <c r="AR561" s="474"/>
      <c r="AS561" s="474"/>
      <c r="AT561" s="474"/>
      <c r="AU561" s="474"/>
      <c r="AV561" s="474"/>
      <c r="AW561" s="474"/>
      <c r="AX561" s="474"/>
      <c r="AY561" s="474"/>
      <c r="AZ561" s="474"/>
      <c r="BA561" s="474"/>
      <c r="BB561" s="474"/>
      <c r="BC561" s="474"/>
      <c r="BD561" s="474"/>
      <c r="BE561" s="474"/>
      <c r="BF561" s="474"/>
      <c r="BG561" s="474"/>
      <c r="BH561" s="474"/>
      <c r="BI561" s="474"/>
      <c r="BJ561" s="474"/>
      <c r="BK561" s="474"/>
      <c r="BL561" s="474"/>
      <c r="BM561" s="474"/>
      <c r="BN561" s="474"/>
      <c r="BO561" s="474"/>
      <c r="BP561" s="474"/>
      <c r="BQ561" s="474"/>
      <c r="BR561" s="474"/>
      <c r="BS561" s="474"/>
      <c r="BT561" s="474"/>
      <c r="BU561" s="474"/>
      <c r="BV561" s="474"/>
      <c r="BW561" s="474"/>
      <c r="BX561" s="474"/>
      <c r="BY561" s="474"/>
      <c r="BZ561" s="474"/>
    </row>
    <row r="562" spans="1:78" s="475" customFormat="1" ht="12.75">
      <c r="A562" s="133" t="s">
        <v>430</v>
      </c>
      <c r="B562" s="543">
        <v>25530098</v>
      </c>
      <c r="C562" s="543">
        <v>25530098</v>
      </c>
      <c r="D562" s="474"/>
      <c r="E562" s="474"/>
      <c r="F562" s="474"/>
      <c r="G562" s="474"/>
      <c r="H562" s="474"/>
      <c r="I562" s="474"/>
      <c r="J562" s="474"/>
      <c r="K562" s="474"/>
      <c r="L562" s="474"/>
      <c r="M562" s="474"/>
      <c r="N562" s="474"/>
      <c r="O562" s="474"/>
      <c r="P562" s="474"/>
      <c r="Q562" s="474"/>
      <c r="R562" s="474"/>
      <c r="S562" s="474"/>
      <c r="T562" s="474"/>
      <c r="U562" s="474"/>
      <c r="V562" s="474"/>
      <c r="W562" s="474"/>
      <c r="X562" s="474"/>
      <c r="Y562" s="474"/>
      <c r="Z562" s="474"/>
      <c r="AA562" s="474"/>
      <c r="AB562" s="474"/>
      <c r="AC562" s="474"/>
      <c r="AD562" s="474"/>
      <c r="AE562" s="474"/>
      <c r="AF562" s="474"/>
      <c r="AG562" s="474"/>
      <c r="AH562" s="474"/>
      <c r="AI562" s="474"/>
      <c r="AJ562" s="474"/>
      <c r="AK562" s="474"/>
      <c r="AL562" s="474"/>
      <c r="AM562" s="474"/>
      <c r="AN562" s="474"/>
      <c r="AO562" s="474"/>
      <c r="AP562" s="474"/>
      <c r="AQ562" s="474"/>
      <c r="AR562" s="474"/>
      <c r="AS562" s="474"/>
      <c r="AT562" s="474"/>
      <c r="AU562" s="474"/>
      <c r="AV562" s="474"/>
      <c r="AW562" s="474"/>
      <c r="AX562" s="474"/>
      <c r="AY562" s="474"/>
      <c r="AZ562" s="474"/>
      <c r="BA562" s="474"/>
      <c r="BB562" s="474"/>
      <c r="BC562" s="474"/>
      <c r="BD562" s="474"/>
      <c r="BE562" s="474"/>
      <c r="BF562" s="474"/>
      <c r="BG562" s="474"/>
      <c r="BH562" s="474"/>
      <c r="BI562" s="474"/>
      <c r="BJ562" s="474"/>
      <c r="BK562" s="474"/>
      <c r="BL562" s="474"/>
      <c r="BM562" s="474"/>
      <c r="BN562" s="474"/>
      <c r="BO562" s="474"/>
      <c r="BP562" s="474"/>
      <c r="BQ562" s="474"/>
      <c r="BR562" s="474"/>
      <c r="BS562" s="474"/>
      <c r="BT562" s="474"/>
      <c r="BU562" s="474"/>
      <c r="BV562" s="474"/>
      <c r="BW562" s="474"/>
      <c r="BX562" s="474"/>
      <c r="BY562" s="474"/>
      <c r="BZ562" s="474"/>
    </row>
    <row r="563" spans="1:78" s="475" customFormat="1" ht="13.5" thickBot="1">
      <c r="A563" s="134" t="s">
        <v>113</v>
      </c>
      <c r="B563" s="545"/>
      <c r="C563" s="545">
        <v>22.18</v>
      </c>
      <c r="D563" s="474"/>
      <c r="E563" s="474"/>
      <c r="F563" s="474"/>
      <c r="G563" s="474"/>
      <c r="H563" s="474"/>
      <c r="I563" s="474"/>
      <c r="J563" s="474"/>
      <c r="K563" s="474"/>
      <c r="L563" s="474"/>
      <c r="M563" s="474"/>
      <c r="N563" s="474"/>
      <c r="O563" s="474"/>
      <c r="P563" s="474"/>
      <c r="Q563" s="474"/>
      <c r="R563" s="474"/>
      <c r="S563" s="474"/>
      <c r="T563" s="474"/>
      <c r="U563" s="474"/>
      <c r="V563" s="474"/>
      <c r="W563" s="474"/>
      <c r="X563" s="474"/>
      <c r="Y563" s="474"/>
      <c r="Z563" s="474"/>
      <c r="AA563" s="474"/>
      <c r="AB563" s="474"/>
      <c r="AC563" s="474"/>
      <c r="AD563" s="474"/>
      <c r="AE563" s="474"/>
      <c r="AF563" s="474"/>
      <c r="AG563" s="474"/>
      <c r="AH563" s="474"/>
      <c r="AI563" s="474"/>
      <c r="AJ563" s="474"/>
      <c r="AK563" s="474"/>
      <c r="AL563" s="474"/>
      <c r="AM563" s="474"/>
      <c r="AN563" s="474"/>
      <c r="AO563" s="474"/>
      <c r="AP563" s="474"/>
      <c r="AQ563" s="474"/>
      <c r="AR563" s="474"/>
      <c r="AS563" s="474"/>
      <c r="AT563" s="474"/>
      <c r="AU563" s="474"/>
      <c r="AV563" s="474"/>
      <c r="AW563" s="474"/>
      <c r="AX563" s="474"/>
      <c r="AY563" s="474"/>
      <c r="AZ563" s="474"/>
      <c r="BA563" s="474"/>
      <c r="BB563" s="474"/>
      <c r="BC563" s="474"/>
      <c r="BD563" s="474"/>
      <c r="BE563" s="474"/>
      <c r="BF563" s="474"/>
      <c r="BG563" s="474"/>
      <c r="BH563" s="474"/>
      <c r="BI563" s="474"/>
      <c r="BJ563" s="474"/>
      <c r="BK563" s="474"/>
      <c r="BL563" s="474"/>
      <c r="BM563" s="474"/>
      <c r="BN563" s="474"/>
      <c r="BO563" s="474"/>
      <c r="BP563" s="474"/>
      <c r="BQ563" s="474"/>
      <c r="BR563" s="474"/>
      <c r="BS563" s="474"/>
      <c r="BT563" s="474"/>
      <c r="BU563" s="474"/>
      <c r="BV563" s="474"/>
      <c r="BW563" s="474"/>
      <c r="BX563" s="474"/>
      <c r="BY563" s="474"/>
      <c r="BZ563" s="474"/>
    </row>
    <row r="564" spans="1:78" s="475" customFormat="1" ht="12.75">
      <c r="A564" s="512"/>
      <c r="B564" s="523"/>
      <c r="C564" s="462"/>
      <c r="D564" s="474"/>
      <c r="E564" s="474"/>
      <c r="F564" s="474"/>
      <c r="G564" s="474"/>
      <c r="H564" s="474"/>
      <c r="I564" s="474"/>
      <c r="J564" s="474"/>
      <c r="K564" s="474"/>
      <c r="L564" s="474"/>
      <c r="M564" s="474"/>
      <c r="N564" s="474"/>
      <c r="O564" s="474"/>
      <c r="P564" s="474"/>
      <c r="Q564" s="474"/>
      <c r="R564" s="474"/>
      <c r="S564" s="474"/>
      <c r="T564" s="474"/>
      <c r="U564" s="474"/>
      <c r="V564" s="474"/>
      <c r="W564" s="474"/>
      <c r="X564" s="474"/>
      <c r="Y564" s="474"/>
      <c r="Z564" s="474"/>
      <c r="AA564" s="474"/>
      <c r="AB564" s="474"/>
      <c r="AC564" s="474"/>
      <c r="AD564" s="474"/>
      <c r="AE564" s="474"/>
      <c r="AF564" s="474"/>
      <c r="AG564" s="474"/>
      <c r="AH564" s="474"/>
      <c r="AI564" s="474"/>
      <c r="AJ564" s="474"/>
      <c r="AK564" s="474"/>
      <c r="AL564" s="474"/>
      <c r="AM564" s="474"/>
      <c r="AN564" s="474"/>
      <c r="AO564" s="474"/>
      <c r="AP564" s="474"/>
      <c r="AQ564" s="474"/>
      <c r="AR564" s="474"/>
      <c r="AS564" s="474"/>
      <c r="AT564" s="474"/>
      <c r="AU564" s="474"/>
      <c r="AV564" s="474"/>
      <c r="AW564" s="474"/>
      <c r="AX564" s="474"/>
      <c r="AY564" s="474"/>
      <c r="AZ564" s="474"/>
      <c r="BA564" s="474"/>
      <c r="BB564" s="474"/>
      <c r="BC564" s="474"/>
      <c r="BD564" s="474"/>
      <c r="BE564" s="474"/>
      <c r="BF564" s="474"/>
      <c r="BG564" s="474"/>
      <c r="BH564" s="474"/>
      <c r="BI564" s="474"/>
      <c r="BJ564" s="474"/>
      <c r="BK564" s="474"/>
      <c r="BL564" s="474"/>
      <c r="BM564" s="474"/>
      <c r="BN564" s="474"/>
      <c r="BO564" s="474"/>
      <c r="BP564" s="474"/>
      <c r="BQ564" s="474"/>
      <c r="BR564" s="474"/>
      <c r="BS564" s="474"/>
      <c r="BT564" s="474"/>
      <c r="BU564" s="474"/>
      <c r="BV564" s="474"/>
      <c r="BW564" s="474"/>
      <c r="BX564" s="474"/>
      <c r="BY564" s="474"/>
      <c r="BZ564" s="474"/>
    </row>
    <row r="565" s="61" customFormat="1" ht="16.5">
      <c r="A565" s="68" t="s">
        <v>565</v>
      </c>
    </row>
    <row r="566" s="39" customFormat="1" ht="8.25" customHeight="1">
      <c r="B566" s="61"/>
    </row>
    <row r="567" spans="1:2" s="110" customFormat="1" ht="15.75" customHeight="1" thickBot="1">
      <c r="A567" s="108" t="s">
        <v>372</v>
      </c>
      <c r="B567" s="109"/>
    </row>
    <row r="568" spans="1:3" s="110" customFormat="1" ht="24" customHeight="1">
      <c r="A568" s="287" t="s">
        <v>419</v>
      </c>
      <c r="B568" s="60" t="e">
        <f>B10</f>
        <v>#REF!</v>
      </c>
      <c r="C568" s="60" t="e">
        <f>C10</f>
        <v>#REF!</v>
      </c>
    </row>
    <row r="569" spans="1:3" s="39" customFormat="1" ht="12">
      <c r="A569" s="124" t="s">
        <v>181</v>
      </c>
      <c r="B569" s="123">
        <f>SUM(B570:B574)</f>
        <v>0</v>
      </c>
      <c r="C569" s="123">
        <f>SUM(C570:C574)</f>
        <v>0</v>
      </c>
    </row>
    <row r="570" spans="1:3" s="39" customFormat="1" ht="12" hidden="1">
      <c r="A570" s="49" t="s">
        <v>182</v>
      </c>
      <c r="B570" s="45"/>
      <c r="C570" s="45"/>
    </row>
    <row r="571" spans="1:3" s="39" customFormat="1" ht="12" hidden="1">
      <c r="A571" s="49" t="s">
        <v>183</v>
      </c>
      <c r="B571" s="45"/>
      <c r="C571" s="45"/>
    </row>
    <row r="572" spans="1:3" s="39" customFormat="1" ht="12" hidden="1">
      <c r="A572" s="49" t="s">
        <v>184</v>
      </c>
      <c r="B572" s="45"/>
      <c r="C572" s="45"/>
    </row>
    <row r="573" spans="1:3" s="39" customFormat="1" ht="12" hidden="1">
      <c r="A573" s="49" t="s">
        <v>185</v>
      </c>
      <c r="B573" s="45"/>
      <c r="C573" s="45"/>
    </row>
    <row r="574" spans="1:3" s="39" customFormat="1" ht="12" hidden="1">
      <c r="A574" s="49" t="s">
        <v>186</v>
      </c>
      <c r="B574" s="45"/>
      <c r="C574" s="45"/>
    </row>
    <row r="575" spans="1:3" s="39" customFormat="1" ht="12">
      <c r="A575" s="124" t="s">
        <v>649</v>
      </c>
      <c r="B575" s="123">
        <f>B576+B582</f>
        <v>0</v>
      </c>
      <c r="C575" s="123">
        <f>C576+C582</f>
        <v>0</v>
      </c>
    </row>
    <row r="576" spans="1:3" s="39" customFormat="1" ht="12">
      <c r="A576" s="197" t="s">
        <v>927</v>
      </c>
      <c r="B576" s="198">
        <f>SUM(B577:B581)</f>
        <v>0</v>
      </c>
      <c r="C576" s="198">
        <f>SUM(C577:C581)</f>
        <v>0</v>
      </c>
    </row>
    <row r="577" spans="1:3" s="39" customFormat="1" ht="12" hidden="1">
      <c r="A577" s="49" t="s">
        <v>182</v>
      </c>
      <c r="B577" s="45"/>
      <c r="C577" s="45"/>
    </row>
    <row r="578" spans="1:3" s="39" customFormat="1" ht="12" hidden="1">
      <c r="A578" s="49" t="s">
        <v>183</v>
      </c>
      <c r="B578" s="45"/>
      <c r="C578" s="45"/>
    </row>
    <row r="579" spans="1:3" s="39" customFormat="1" ht="12" hidden="1">
      <c r="A579" s="49" t="s">
        <v>184</v>
      </c>
      <c r="B579" s="45"/>
      <c r="C579" s="45"/>
    </row>
    <row r="580" spans="1:3" s="39" customFormat="1" ht="12" hidden="1">
      <c r="A580" s="49" t="s">
        <v>185</v>
      </c>
      <c r="B580" s="45"/>
      <c r="C580" s="45"/>
    </row>
    <row r="581" spans="1:3" s="39" customFormat="1" ht="12" hidden="1">
      <c r="A581" s="111" t="s">
        <v>186</v>
      </c>
      <c r="B581" s="112"/>
      <c r="C581" s="112"/>
    </row>
    <row r="582" spans="1:3" s="39" customFormat="1" ht="12">
      <c r="A582" s="197" t="s">
        <v>411</v>
      </c>
      <c r="B582" s="198">
        <f>SUM(B583:B587)</f>
        <v>0</v>
      </c>
      <c r="C582" s="198">
        <f>SUM(C583:C587)</f>
        <v>0</v>
      </c>
    </row>
    <row r="583" spans="1:3" s="39" customFormat="1" ht="12" hidden="1">
      <c r="A583" s="49" t="s">
        <v>182</v>
      </c>
      <c r="B583" s="45"/>
      <c r="C583" s="45"/>
    </row>
    <row r="584" spans="1:3" s="39" customFormat="1" ht="12" hidden="1">
      <c r="A584" s="49" t="s">
        <v>183</v>
      </c>
      <c r="B584" s="45"/>
      <c r="C584" s="45"/>
    </row>
    <row r="585" spans="1:3" s="39" customFormat="1" ht="12" hidden="1">
      <c r="A585" s="49" t="s">
        <v>184</v>
      </c>
      <c r="B585" s="45"/>
      <c r="C585" s="45"/>
    </row>
    <row r="586" spans="1:3" s="39" customFormat="1" ht="12" hidden="1">
      <c r="A586" s="49" t="s">
        <v>185</v>
      </c>
      <c r="B586" s="45"/>
      <c r="C586" s="45"/>
    </row>
    <row r="587" spans="1:3" s="39" customFormat="1" ht="12" hidden="1">
      <c r="A587" s="111" t="s">
        <v>186</v>
      </c>
      <c r="B587" s="112"/>
      <c r="C587" s="112"/>
    </row>
    <row r="588" spans="1:3" s="61" customFormat="1" ht="12.75" thickBot="1">
      <c r="A588" s="64" t="s">
        <v>187</v>
      </c>
      <c r="B588" s="126">
        <f>B569+B576</f>
        <v>0</v>
      </c>
      <c r="C588" s="126">
        <f>C569+C576</f>
        <v>0</v>
      </c>
    </row>
    <row r="589" s="39" customFormat="1" ht="12"/>
    <row r="590" spans="1:3" s="526" customFormat="1" ht="15.75" customHeight="1" thickBot="1">
      <c r="A590" s="108" t="s">
        <v>373</v>
      </c>
      <c r="B590" s="525"/>
      <c r="C590" s="525"/>
    </row>
    <row r="591" spans="1:3" s="526" customFormat="1" ht="24" customHeight="1">
      <c r="A591" s="287" t="s">
        <v>421</v>
      </c>
      <c r="B591" s="300" t="e">
        <f>B10</f>
        <v>#REF!</v>
      </c>
      <c r="C591" s="300" t="e">
        <f>C10</f>
        <v>#REF!</v>
      </c>
    </row>
    <row r="592" spans="1:4" s="296" customFormat="1" ht="12">
      <c r="A592" s="527" t="s">
        <v>422</v>
      </c>
      <c r="B592" s="528">
        <f>SUM(B593:B597)</f>
        <v>0</v>
      </c>
      <c r="C592" s="528">
        <f>SUM(C593:C597)</f>
        <v>92569</v>
      </c>
      <c r="D592" s="296">
        <v>248439</v>
      </c>
    </row>
    <row r="593" spans="1:4" s="296" customFormat="1" ht="12">
      <c r="A593" s="529" t="s">
        <v>382</v>
      </c>
      <c r="B593" s="530"/>
      <c r="C593" s="530">
        <v>92569</v>
      </c>
      <c r="D593" s="531">
        <v>141820</v>
      </c>
    </row>
    <row r="594" spans="1:3" s="296" customFormat="1" ht="12">
      <c r="A594" s="529" t="s">
        <v>543</v>
      </c>
      <c r="B594" s="530"/>
      <c r="C594" s="530"/>
    </row>
    <row r="595" spans="1:3" s="296" customFormat="1" ht="12">
      <c r="A595" s="529" t="s">
        <v>544</v>
      </c>
      <c r="B595" s="530"/>
      <c r="C595" s="530"/>
    </row>
    <row r="596" spans="1:3" s="296" customFormat="1" ht="12">
      <c r="A596" s="529" t="s">
        <v>545</v>
      </c>
      <c r="B596" s="530"/>
      <c r="C596" s="530"/>
    </row>
    <row r="597" spans="1:3" s="296" customFormat="1" ht="12">
      <c r="A597" s="529" t="s">
        <v>121</v>
      </c>
      <c r="B597" s="530"/>
      <c r="C597" s="530"/>
    </row>
    <row r="598" spans="1:3" s="296" customFormat="1" ht="12">
      <c r="A598" s="527" t="s">
        <v>302</v>
      </c>
      <c r="B598" s="528">
        <f>B599+B605</f>
        <v>0</v>
      </c>
      <c r="C598" s="528">
        <f>C599+C605</f>
        <v>0</v>
      </c>
    </row>
    <row r="599" spans="1:4" s="296" customFormat="1" ht="12">
      <c r="A599" s="532" t="s">
        <v>303</v>
      </c>
      <c r="B599" s="533">
        <f>SUM(B600:B604)</f>
        <v>0</v>
      </c>
      <c r="C599" s="533">
        <f>SUM(C600:C604)</f>
        <v>0</v>
      </c>
      <c r="D599" s="296">
        <v>43322</v>
      </c>
    </row>
    <row r="600" spans="1:3" s="296" customFormat="1" ht="12" hidden="1">
      <c r="A600" s="529" t="s">
        <v>423</v>
      </c>
      <c r="B600" s="530"/>
      <c r="C600" s="530"/>
    </row>
    <row r="601" spans="1:3" s="296" customFormat="1" ht="12" hidden="1">
      <c r="A601" s="529" t="s">
        <v>543</v>
      </c>
      <c r="B601" s="530"/>
      <c r="C601" s="530"/>
    </row>
    <row r="602" spans="1:3" s="296" customFormat="1" ht="12" hidden="1">
      <c r="A602" s="529" t="s">
        <v>544</v>
      </c>
      <c r="B602" s="530"/>
      <c r="C602" s="530"/>
    </row>
    <row r="603" spans="1:3" s="296" customFormat="1" ht="12" hidden="1">
      <c r="A603" s="529" t="s">
        <v>545</v>
      </c>
      <c r="B603" s="530"/>
      <c r="C603" s="530"/>
    </row>
    <row r="604" spans="1:3" s="296" customFormat="1" ht="12" hidden="1">
      <c r="A604" s="529" t="s">
        <v>121</v>
      </c>
      <c r="B604" s="534"/>
      <c r="C604" s="534"/>
    </row>
    <row r="605" spans="1:3" s="296" customFormat="1" ht="12">
      <c r="A605" s="532" t="s">
        <v>926</v>
      </c>
      <c r="B605" s="533">
        <f>SUM(B606:B610)</f>
        <v>0</v>
      </c>
      <c r="C605" s="533">
        <f>SUM(C606:C610)</f>
        <v>0</v>
      </c>
    </row>
    <row r="606" spans="1:3" s="296" customFormat="1" ht="12" hidden="1">
      <c r="A606" s="529" t="s">
        <v>423</v>
      </c>
      <c r="B606" s="535"/>
      <c r="C606" s="535"/>
    </row>
    <row r="607" spans="1:3" s="296" customFormat="1" ht="12" hidden="1">
      <c r="A607" s="529" t="s">
        <v>543</v>
      </c>
      <c r="B607" s="535"/>
      <c r="C607" s="535"/>
    </row>
    <row r="608" spans="1:3" s="296" customFormat="1" ht="12" hidden="1">
      <c r="A608" s="529" t="s">
        <v>544</v>
      </c>
      <c r="B608" s="535"/>
      <c r="C608" s="535"/>
    </row>
    <row r="609" spans="1:3" s="296" customFormat="1" ht="12" hidden="1">
      <c r="A609" s="529" t="s">
        <v>545</v>
      </c>
      <c r="B609" s="535"/>
      <c r="C609" s="535"/>
    </row>
    <row r="610" spans="1:3" s="296" customFormat="1" ht="12" hidden="1">
      <c r="A610" s="529" t="s">
        <v>121</v>
      </c>
      <c r="B610" s="535"/>
      <c r="C610" s="535"/>
    </row>
    <row r="611" spans="1:3" s="538" customFormat="1" ht="12.75" thickBot="1">
      <c r="A611" s="536" t="s">
        <v>463</v>
      </c>
      <c r="B611" s="537">
        <f>B592+B598</f>
        <v>0</v>
      </c>
      <c r="C611" s="537">
        <f>C592+C598</f>
        <v>92569</v>
      </c>
    </row>
    <row r="612" spans="2:3" s="296" customFormat="1" ht="12">
      <c r="B612" s="301"/>
      <c r="C612" s="301"/>
    </row>
    <row r="613" spans="2:3" s="296" customFormat="1" ht="12">
      <c r="B613" s="301"/>
      <c r="C613" s="301"/>
    </row>
    <row r="614" spans="2:3" s="296" customFormat="1" ht="12">
      <c r="B614" s="301"/>
      <c r="C614" s="301"/>
    </row>
    <row r="615" spans="2:3" s="296" customFormat="1" ht="12">
      <c r="B615" s="301"/>
      <c r="C615" s="301"/>
    </row>
    <row r="616" spans="1:78" s="475" customFormat="1" ht="12.75">
      <c r="A616" s="512"/>
      <c r="B616" s="523"/>
      <c r="C616" s="462"/>
      <c r="D616" s="474"/>
      <c r="E616" s="474"/>
      <c r="F616" s="474"/>
      <c r="G616" s="474"/>
      <c r="H616" s="474"/>
      <c r="I616" s="474"/>
      <c r="J616" s="474"/>
      <c r="K616" s="474"/>
      <c r="L616" s="474"/>
      <c r="M616" s="474"/>
      <c r="N616" s="474"/>
      <c r="O616" s="474"/>
      <c r="P616" s="474"/>
      <c r="Q616" s="474"/>
      <c r="R616" s="474"/>
      <c r="S616" s="474"/>
      <c r="T616" s="474"/>
      <c r="U616" s="474"/>
      <c r="V616" s="474"/>
      <c r="W616" s="474"/>
      <c r="X616" s="474"/>
      <c r="Y616" s="474"/>
      <c r="Z616" s="474"/>
      <c r="AA616" s="474"/>
      <c r="AB616" s="474"/>
      <c r="AC616" s="474"/>
      <c r="AD616" s="474"/>
      <c r="AE616" s="474"/>
      <c r="AF616" s="474"/>
      <c r="AG616" s="474"/>
      <c r="AH616" s="474"/>
      <c r="AI616" s="474"/>
      <c r="AJ616" s="474"/>
      <c r="AK616" s="474"/>
      <c r="AL616" s="474"/>
      <c r="AM616" s="474"/>
      <c r="AN616" s="474"/>
      <c r="AO616" s="474"/>
      <c r="AP616" s="474"/>
      <c r="AQ616" s="474"/>
      <c r="AR616" s="474"/>
      <c r="AS616" s="474"/>
      <c r="AT616" s="474"/>
      <c r="AU616" s="474"/>
      <c r="AV616" s="474"/>
      <c r="AW616" s="474"/>
      <c r="AX616" s="474"/>
      <c r="AY616" s="474"/>
      <c r="AZ616" s="474"/>
      <c r="BA616" s="474"/>
      <c r="BB616" s="474"/>
      <c r="BC616" s="474"/>
      <c r="BD616" s="474"/>
      <c r="BE616" s="474"/>
      <c r="BF616" s="474"/>
      <c r="BG616" s="474"/>
      <c r="BH616" s="474"/>
      <c r="BI616" s="474"/>
      <c r="BJ616" s="474"/>
      <c r="BK616" s="474"/>
      <c r="BL616" s="474"/>
      <c r="BM616" s="474"/>
      <c r="BN616" s="474"/>
      <c r="BO616" s="474"/>
      <c r="BP616" s="474"/>
      <c r="BQ616" s="474"/>
      <c r="BR616" s="474"/>
      <c r="BS616" s="474"/>
      <c r="BT616" s="474"/>
      <c r="BU616" s="474"/>
      <c r="BV616" s="474"/>
      <c r="BW616" s="474"/>
      <c r="BX616" s="474"/>
      <c r="BY616" s="474"/>
      <c r="BZ616" s="474"/>
    </row>
    <row r="617" spans="1:78" s="475" customFormat="1" ht="12.75">
      <c r="A617" s="512"/>
      <c r="B617" s="523"/>
      <c r="C617" s="462"/>
      <c r="D617" s="474"/>
      <c r="E617" s="474"/>
      <c r="F617" s="474"/>
      <c r="G617" s="474"/>
      <c r="H617" s="474"/>
      <c r="I617" s="474"/>
      <c r="J617" s="474"/>
      <c r="K617" s="474"/>
      <c r="L617" s="474"/>
      <c r="M617" s="474"/>
      <c r="N617" s="474"/>
      <c r="O617" s="474"/>
      <c r="P617" s="474"/>
      <c r="Q617" s="474"/>
      <c r="R617" s="474"/>
      <c r="S617" s="474"/>
      <c r="T617" s="474"/>
      <c r="U617" s="474"/>
      <c r="V617" s="474"/>
      <c r="W617" s="474"/>
      <c r="X617" s="474"/>
      <c r="Y617" s="474"/>
      <c r="Z617" s="474"/>
      <c r="AA617" s="474"/>
      <c r="AB617" s="474"/>
      <c r="AC617" s="474"/>
      <c r="AD617" s="474"/>
      <c r="AE617" s="474"/>
      <c r="AF617" s="474"/>
      <c r="AG617" s="474"/>
      <c r="AH617" s="474"/>
      <c r="AI617" s="474"/>
      <c r="AJ617" s="474"/>
      <c r="AK617" s="474"/>
      <c r="AL617" s="474"/>
      <c r="AM617" s="474"/>
      <c r="AN617" s="474"/>
      <c r="AO617" s="474"/>
      <c r="AP617" s="474"/>
      <c r="AQ617" s="474"/>
      <c r="AR617" s="474"/>
      <c r="AS617" s="474"/>
      <c r="AT617" s="474"/>
      <c r="AU617" s="474"/>
      <c r="AV617" s="474"/>
      <c r="AW617" s="474"/>
      <c r="AX617" s="474"/>
      <c r="AY617" s="474"/>
      <c r="AZ617" s="474"/>
      <c r="BA617" s="474"/>
      <c r="BB617" s="474"/>
      <c r="BC617" s="474"/>
      <c r="BD617" s="474"/>
      <c r="BE617" s="474"/>
      <c r="BF617" s="474"/>
      <c r="BG617" s="474"/>
      <c r="BH617" s="474"/>
      <c r="BI617" s="474"/>
      <c r="BJ617" s="474"/>
      <c r="BK617" s="474"/>
      <c r="BL617" s="474"/>
      <c r="BM617" s="474"/>
      <c r="BN617" s="474"/>
      <c r="BO617" s="474"/>
      <c r="BP617" s="474"/>
      <c r="BQ617" s="474"/>
      <c r="BR617" s="474"/>
      <c r="BS617" s="474"/>
      <c r="BT617" s="474"/>
      <c r="BU617" s="474"/>
      <c r="BV617" s="474"/>
      <c r="BW617" s="474"/>
      <c r="BX617" s="474"/>
      <c r="BY617" s="474"/>
      <c r="BZ617" s="474"/>
    </row>
    <row r="618" spans="1:78" s="475" customFormat="1" ht="12.75">
      <c r="A618" s="512"/>
      <c r="B618" s="523"/>
      <c r="C618" s="462"/>
      <c r="D618" s="474"/>
      <c r="E618" s="474"/>
      <c r="F618" s="474"/>
      <c r="G618" s="474"/>
      <c r="H618" s="474"/>
      <c r="I618" s="474"/>
      <c r="J618" s="474"/>
      <c r="K618" s="474"/>
      <c r="L618" s="474"/>
      <c r="M618" s="474"/>
      <c r="N618" s="474"/>
      <c r="O618" s="474"/>
      <c r="P618" s="474"/>
      <c r="Q618" s="474"/>
      <c r="R618" s="474"/>
      <c r="S618" s="474"/>
      <c r="T618" s="474"/>
      <c r="U618" s="474"/>
      <c r="V618" s="474"/>
      <c r="W618" s="474"/>
      <c r="X618" s="474"/>
      <c r="Y618" s="474"/>
      <c r="Z618" s="474"/>
      <c r="AA618" s="474"/>
      <c r="AB618" s="474"/>
      <c r="AC618" s="474"/>
      <c r="AD618" s="474"/>
      <c r="AE618" s="474"/>
      <c r="AF618" s="474"/>
      <c r="AG618" s="474"/>
      <c r="AH618" s="474"/>
      <c r="AI618" s="474"/>
      <c r="AJ618" s="474"/>
      <c r="AK618" s="474"/>
      <c r="AL618" s="474"/>
      <c r="AM618" s="474"/>
      <c r="AN618" s="474"/>
      <c r="AO618" s="474"/>
      <c r="AP618" s="474"/>
      <c r="AQ618" s="474"/>
      <c r="AR618" s="474"/>
      <c r="AS618" s="474"/>
      <c r="AT618" s="474"/>
      <c r="AU618" s="474"/>
      <c r="AV618" s="474"/>
      <c r="AW618" s="474"/>
      <c r="AX618" s="474"/>
      <c r="AY618" s="474"/>
      <c r="AZ618" s="474"/>
      <c r="BA618" s="474"/>
      <c r="BB618" s="474"/>
      <c r="BC618" s="474"/>
      <c r="BD618" s="474"/>
      <c r="BE618" s="474"/>
      <c r="BF618" s="474"/>
      <c r="BG618" s="474"/>
      <c r="BH618" s="474"/>
      <c r="BI618" s="474"/>
      <c r="BJ618" s="474"/>
      <c r="BK618" s="474"/>
      <c r="BL618" s="474"/>
      <c r="BM618" s="474"/>
      <c r="BN618" s="474"/>
      <c r="BO618" s="474"/>
      <c r="BP618" s="474"/>
      <c r="BQ618" s="474"/>
      <c r="BR618" s="474"/>
      <c r="BS618" s="474"/>
      <c r="BT618" s="474"/>
      <c r="BU618" s="474"/>
      <c r="BV618" s="474"/>
      <c r="BW618" s="474"/>
      <c r="BX618" s="474"/>
      <c r="BY618" s="474"/>
      <c r="BZ618" s="474"/>
    </row>
    <row r="619" spans="1:78" s="475" customFormat="1" ht="12.75">
      <c r="A619" s="512"/>
      <c r="B619" s="523"/>
      <c r="C619" s="462"/>
      <c r="D619" s="474"/>
      <c r="E619" s="474"/>
      <c r="F619" s="474"/>
      <c r="G619" s="474"/>
      <c r="H619" s="474"/>
      <c r="I619" s="474"/>
      <c r="J619" s="474"/>
      <c r="K619" s="474"/>
      <c r="L619" s="474"/>
      <c r="M619" s="474"/>
      <c r="N619" s="474"/>
      <c r="O619" s="474"/>
      <c r="P619" s="474"/>
      <c r="Q619" s="474"/>
      <c r="R619" s="474"/>
      <c r="S619" s="474"/>
      <c r="T619" s="474"/>
      <c r="U619" s="474"/>
      <c r="V619" s="474"/>
      <c r="W619" s="474"/>
      <c r="X619" s="474"/>
      <c r="Y619" s="474"/>
      <c r="Z619" s="474"/>
      <c r="AA619" s="474"/>
      <c r="AB619" s="474"/>
      <c r="AC619" s="474"/>
      <c r="AD619" s="474"/>
      <c r="AE619" s="474"/>
      <c r="AF619" s="474"/>
      <c r="AG619" s="474"/>
      <c r="AH619" s="474"/>
      <c r="AI619" s="474"/>
      <c r="AJ619" s="474"/>
      <c r="AK619" s="474"/>
      <c r="AL619" s="474"/>
      <c r="AM619" s="474"/>
      <c r="AN619" s="474"/>
      <c r="AO619" s="474"/>
      <c r="AP619" s="474"/>
      <c r="AQ619" s="474"/>
      <c r="AR619" s="474"/>
      <c r="AS619" s="474"/>
      <c r="AT619" s="474"/>
      <c r="AU619" s="474"/>
      <c r="AV619" s="474"/>
      <c r="AW619" s="474"/>
      <c r="AX619" s="474"/>
      <c r="AY619" s="474"/>
      <c r="AZ619" s="474"/>
      <c r="BA619" s="474"/>
      <c r="BB619" s="474"/>
      <c r="BC619" s="474"/>
      <c r="BD619" s="474"/>
      <c r="BE619" s="474"/>
      <c r="BF619" s="474"/>
      <c r="BG619" s="474"/>
      <c r="BH619" s="474"/>
      <c r="BI619" s="474"/>
      <c r="BJ619" s="474"/>
      <c r="BK619" s="474"/>
      <c r="BL619" s="474"/>
      <c r="BM619" s="474"/>
      <c r="BN619" s="474"/>
      <c r="BO619" s="474"/>
      <c r="BP619" s="474"/>
      <c r="BQ619" s="474"/>
      <c r="BR619" s="474"/>
      <c r="BS619" s="474"/>
      <c r="BT619" s="474"/>
      <c r="BU619" s="474"/>
      <c r="BV619" s="474"/>
      <c r="BW619" s="474"/>
      <c r="BX619" s="474"/>
      <c r="BY619" s="474"/>
      <c r="BZ619" s="474"/>
    </row>
  </sheetData>
  <sheetProtection/>
  <printOptions/>
  <pageMargins left="0.75" right="0.75" top="1" bottom="0.75" header="0.5" footer="0.5"/>
  <pageSetup blackAndWhite="1" horizontalDpi="600" verticalDpi="600" orientation="portrait" paperSize="9" r:id="rId2"/>
  <headerFooter alignWithMargins="0">
    <oddFooter>&amp;C&amp;7Komisja Papierów Wartościowych i Giełd&amp;R&amp;7&amp;P+45</oddFooter>
  </headerFooter>
  <rowBreaks count="14" manualBreakCount="14">
    <brk id="2" max="2" man="1"/>
    <brk id="3" max="2" man="1"/>
    <brk id="7" max="2" man="1"/>
    <brk id="45" max="255" man="1"/>
    <brk id="79" max="2" man="1"/>
    <brk id="82" max="255" man="1"/>
    <brk id="143" max="255" man="1"/>
    <brk id="202" max="2" man="1"/>
    <brk id="322" max="2" man="1"/>
    <brk id="398" max="2" man="1"/>
    <brk id="399" max="2" man="1"/>
    <brk id="515" max="2" man="1"/>
    <brk id="517" max="2" man="1"/>
    <brk id="5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7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3.125" style="341" customWidth="1"/>
    <col min="2" max="2" width="15.125" style="341" customWidth="1"/>
    <col min="3" max="3" width="14.75390625" style="341" customWidth="1"/>
    <col min="4" max="4" width="9.125" style="341" customWidth="1"/>
    <col min="5" max="16384" width="7.875" style="341" customWidth="1"/>
  </cols>
  <sheetData>
    <row r="1" ht="16.5">
      <c r="A1" s="389" t="s">
        <v>812</v>
      </c>
    </row>
    <row r="2" ht="9" customHeight="1"/>
    <row r="3" spans="1:2" ht="17.25" thickBot="1">
      <c r="A3" s="390" t="s">
        <v>911</v>
      </c>
      <c r="B3" s="307"/>
    </row>
    <row r="4" spans="1:3" ht="24">
      <c r="A4" s="391" t="s">
        <v>464</v>
      </c>
      <c r="B4" s="302" t="e">
        <f>#REF!</f>
        <v>#REF!</v>
      </c>
      <c r="C4" s="302" t="e">
        <f>#REF!</f>
        <v>#REF!</v>
      </c>
    </row>
    <row r="5" spans="1:3" s="394" customFormat="1" ht="12.75" customHeight="1">
      <c r="A5" s="392" t="s">
        <v>488</v>
      </c>
      <c r="B5" s="393"/>
      <c r="C5" s="393">
        <v>643530</v>
      </c>
    </row>
    <row r="6" spans="1:3" ht="12.75">
      <c r="A6" s="395" t="s">
        <v>697</v>
      </c>
      <c r="B6" s="396"/>
      <c r="C6" s="396">
        <f>42979-28125</f>
        <v>14854</v>
      </c>
    </row>
    <row r="7" spans="1:3" ht="12.75" customHeight="1">
      <c r="A7" s="392" t="s">
        <v>698</v>
      </c>
      <c r="B7" s="397"/>
      <c r="C7" s="397">
        <v>44839</v>
      </c>
    </row>
    <row r="8" spans="1:3" ht="12.75">
      <c r="A8" s="395" t="s">
        <v>697</v>
      </c>
      <c r="B8" s="396"/>
      <c r="C8" s="396">
        <v>28125</v>
      </c>
    </row>
    <row r="9" spans="1:3" ht="12.75">
      <c r="A9" s="398" t="s">
        <v>699</v>
      </c>
      <c r="B9" s="397">
        <v>0</v>
      </c>
      <c r="C9" s="397">
        <v>0</v>
      </c>
    </row>
    <row r="10" spans="1:3" ht="12.75">
      <c r="A10" s="399" t="s">
        <v>700</v>
      </c>
      <c r="B10" s="396">
        <v>0</v>
      </c>
      <c r="C10" s="396">
        <v>0</v>
      </c>
    </row>
    <row r="11" spans="1:3" ht="12.75">
      <c r="A11" s="400" t="s">
        <v>53</v>
      </c>
      <c r="B11" s="401">
        <f>B5+B7+B9</f>
        <v>0</v>
      </c>
      <c r="C11" s="401">
        <f>C5+C7+C9</f>
        <v>688369</v>
      </c>
    </row>
    <row r="12" spans="1:3" ht="13.5" thickBot="1">
      <c r="A12" s="402" t="s">
        <v>700</v>
      </c>
      <c r="B12" s="403">
        <f>B6+B8+B10</f>
        <v>0</v>
      </c>
      <c r="C12" s="403">
        <f>C6+C8+C10</f>
        <v>42979</v>
      </c>
    </row>
    <row r="13" spans="1:3" ht="12.75">
      <c r="A13" s="404"/>
      <c r="B13" s="312"/>
      <c r="C13" s="312"/>
    </row>
    <row r="14" spans="1:3" ht="17.25" thickBot="1">
      <c r="A14" s="390" t="s">
        <v>912</v>
      </c>
      <c r="B14" s="307"/>
      <c r="C14" s="307"/>
    </row>
    <row r="15" spans="1:3" ht="24">
      <c r="A15" s="391" t="s">
        <v>54</v>
      </c>
      <c r="B15" s="302" t="e">
        <f>B4</f>
        <v>#REF!</v>
      </c>
      <c r="C15" s="302" t="e">
        <f>C4</f>
        <v>#REF!</v>
      </c>
    </row>
    <row r="16" spans="1:3" ht="12.75">
      <c r="A16" s="405" t="s">
        <v>566</v>
      </c>
      <c r="B16" s="397"/>
      <c r="C16" s="397">
        <v>492532</v>
      </c>
    </row>
    <row r="17" spans="1:3" ht="12.75">
      <c r="A17" s="406" t="s">
        <v>437</v>
      </c>
      <c r="B17" s="396"/>
      <c r="C17" s="396">
        <v>42979</v>
      </c>
    </row>
    <row r="18" spans="1:3" ht="12.75">
      <c r="A18" s="405" t="s">
        <v>567</v>
      </c>
      <c r="B18" s="397"/>
      <c r="C18" s="397">
        <v>195837</v>
      </c>
    </row>
    <row r="19" spans="1:3" ht="12.75">
      <c r="A19" s="406" t="s">
        <v>437</v>
      </c>
      <c r="B19" s="407">
        <v>0</v>
      </c>
      <c r="C19" s="407">
        <v>0</v>
      </c>
    </row>
    <row r="20" spans="1:3" ht="12.75">
      <c r="A20" s="400" t="s">
        <v>53</v>
      </c>
      <c r="B20" s="401">
        <f>B16+B18</f>
        <v>0</v>
      </c>
      <c r="C20" s="401">
        <f>C16+C18</f>
        <v>688369</v>
      </c>
    </row>
    <row r="21" spans="1:3" ht="13.5" thickBot="1">
      <c r="A21" s="402" t="s">
        <v>437</v>
      </c>
      <c r="B21" s="403">
        <f>B17+B19</f>
        <v>0</v>
      </c>
      <c r="C21" s="403">
        <f>C17+C19</f>
        <v>42979</v>
      </c>
    </row>
    <row r="22" spans="1:3" ht="12.75" hidden="1">
      <c r="A22" s="404"/>
      <c r="B22" s="348" t="str">
        <f>IF(B20=B11,"OK.","BŁĄD")</f>
        <v>OK.</v>
      </c>
      <c r="C22" s="348" t="str">
        <f>IF(C20=C11,"OK.","BŁĄD")</f>
        <v>OK.</v>
      </c>
    </row>
    <row r="23" spans="1:3" ht="12.75" hidden="1">
      <c r="A23" s="404"/>
      <c r="B23" s="348" t="str">
        <f>IF(B21=B12,"OK.","BŁĄD")</f>
        <v>OK.</v>
      </c>
      <c r="C23" s="348" t="str">
        <f>IF(C21=C12,"OK.","BŁĄD")</f>
        <v>OK.</v>
      </c>
    </row>
    <row r="24" spans="1:3" ht="6" customHeight="1">
      <c r="A24" s="404"/>
      <c r="B24" s="312"/>
      <c r="C24" s="312"/>
    </row>
    <row r="25" spans="1:3" ht="6" customHeight="1">
      <c r="A25" s="404"/>
      <c r="B25" s="312"/>
      <c r="C25" s="312"/>
    </row>
    <row r="26" spans="1:3" ht="6" customHeight="1">
      <c r="A26" s="404"/>
      <c r="B26" s="312"/>
      <c r="C26" s="312"/>
    </row>
    <row r="27" spans="1:3" ht="17.25" thickBot="1">
      <c r="A27" s="390" t="s">
        <v>827</v>
      </c>
      <c r="B27" s="307"/>
      <c r="C27" s="307"/>
    </row>
    <row r="28" spans="1:3" ht="36">
      <c r="A28" s="391" t="s">
        <v>749</v>
      </c>
      <c r="B28" s="302" t="e">
        <f>B4</f>
        <v>#REF!</v>
      </c>
      <c r="C28" s="302" t="e">
        <f>C4</f>
        <v>#REF!</v>
      </c>
    </row>
    <row r="29" spans="1:3" s="394" customFormat="1" ht="12.75">
      <c r="A29" s="392" t="s">
        <v>701</v>
      </c>
      <c r="B29" s="393"/>
      <c r="C29" s="393">
        <v>15</v>
      </c>
    </row>
    <row r="30" spans="1:3" s="394" customFormat="1" ht="12.75">
      <c r="A30" s="408" t="s">
        <v>232</v>
      </c>
      <c r="B30" s="409">
        <v>0</v>
      </c>
      <c r="C30" s="409">
        <v>0</v>
      </c>
    </row>
    <row r="31" spans="1:3" ht="12.75">
      <c r="A31" s="392" t="s">
        <v>702</v>
      </c>
      <c r="B31" s="397"/>
      <c r="C31" s="397">
        <v>1749</v>
      </c>
    </row>
    <row r="32" spans="1:3" ht="12.75">
      <c r="A32" s="408" t="s">
        <v>232</v>
      </c>
      <c r="B32" s="396">
        <v>0</v>
      </c>
      <c r="C32" s="396">
        <v>0</v>
      </c>
    </row>
    <row r="33" spans="1:3" ht="12.75">
      <c r="A33" s="400" t="s">
        <v>750</v>
      </c>
      <c r="B33" s="401">
        <f>B29+B31</f>
        <v>0</v>
      </c>
      <c r="C33" s="401">
        <f>C29+C31</f>
        <v>1764</v>
      </c>
    </row>
    <row r="34" spans="1:3" ht="13.5" thickBot="1">
      <c r="A34" s="402" t="s">
        <v>700</v>
      </c>
      <c r="B34" s="403">
        <f>B30+B32</f>
        <v>0</v>
      </c>
      <c r="C34" s="403">
        <f>C30+C32</f>
        <v>0</v>
      </c>
    </row>
    <row r="35" spans="1:3" ht="12.75">
      <c r="A35" s="404"/>
      <c r="B35" s="312"/>
      <c r="C35" s="312"/>
    </row>
    <row r="36" spans="1:3" ht="17.25" thickBot="1">
      <c r="A36" s="390" t="s">
        <v>828</v>
      </c>
      <c r="B36" s="307"/>
      <c r="C36" s="307"/>
    </row>
    <row r="37" spans="1:3" ht="24">
      <c r="A37" s="391" t="s">
        <v>123</v>
      </c>
      <c r="B37" s="302" t="e">
        <f>B4</f>
        <v>#REF!</v>
      </c>
      <c r="C37" s="302" t="e">
        <f>C4</f>
        <v>#REF!</v>
      </c>
    </row>
    <row r="38" spans="1:3" ht="12.75">
      <c r="A38" s="405" t="s">
        <v>566</v>
      </c>
      <c r="B38" s="397"/>
      <c r="C38" s="397">
        <v>1764</v>
      </c>
    </row>
    <row r="39" spans="1:3" ht="12.75">
      <c r="A39" s="406" t="s">
        <v>437</v>
      </c>
      <c r="B39" s="396">
        <v>0</v>
      </c>
      <c r="C39" s="396">
        <v>0</v>
      </c>
    </row>
    <row r="40" spans="1:3" ht="12.75">
      <c r="A40" s="405" t="s">
        <v>567</v>
      </c>
      <c r="B40" s="397">
        <v>0</v>
      </c>
      <c r="C40" s="397">
        <v>0</v>
      </c>
    </row>
    <row r="41" spans="1:3" ht="12.75">
      <c r="A41" s="406" t="s">
        <v>437</v>
      </c>
      <c r="B41" s="407">
        <v>0</v>
      </c>
      <c r="C41" s="407">
        <v>0</v>
      </c>
    </row>
    <row r="42" spans="1:3" ht="12.75">
      <c r="A42" s="400" t="s">
        <v>750</v>
      </c>
      <c r="B42" s="401">
        <f>B38+B40</f>
        <v>0</v>
      </c>
      <c r="C42" s="401">
        <f>C38+C40</f>
        <v>1764</v>
      </c>
    </row>
    <row r="43" spans="1:3" ht="13.5" thickBot="1">
      <c r="A43" s="402" t="s">
        <v>0</v>
      </c>
      <c r="B43" s="403">
        <f>B39+B41</f>
        <v>0</v>
      </c>
      <c r="C43" s="403">
        <f>C39+C41</f>
        <v>0</v>
      </c>
    </row>
    <row r="44" spans="1:3" ht="12.75" hidden="1">
      <c r="A44" s="404"/>
      <c r="B44" s="348" t="str">
        <f>IF(B42=B33,"OK.","BŁĄD")</f>
        <v>OK.</v>
      </c>
      <c r="C44" s="348" t="str">
        <f>IF(C42=C33,"OK.","BŁĄD")</f>
        <v>OK.</v>
      </c>
    </row>
    <row r="45" spans="1:3" ht="12.75" hidden="1">
      <c r="A45" s="404"/>
      <c r="B45" s="348" t="str">
        <f>IF(B43=B34,"OK.","BŁĄD")</f>
        <v>OK.</v>
      </c>
      <c r="C45" s="348" t="str">
        <f>IF(C43=C34,"OK.","BŁĄD")</f>
        <v>OK.</v>
      </c>
    </row>
    <row r="46" spans="1:3" ht="6.75" customHeight="1">
      <c r="A46" s="404"/>
      <c r="B46" s="312"/>
      <c r="C46" s="312"/>
    </row>
    <row r="47" spans="1:3" ht="19.5" thickBot="1">
      <c r="A47" s="410" t="s">
        <v>829</v>
      </c>
      <c r="B47" s="312"/>
      <c r="C47" s="312"/>
    </row>
    <row r="48" spans="1:3" ht="24.75" customHeight="1">
      <c r="A48" s="411" t="s">
        <v>703</v>
      </c>
      <c r="B48" s="302" t="e">
        <f>B4</f>
        <v>#REF!</v>
      </c>
      <c r="C48" s="302" t="e">
        <f>C4</f>
        <v>#REF!</v>
      </c>
    </row>
    <row r="49" spans="1:3" ht="12.75">
      <c r="A49" s="412" t="s">
        <v>704</v>
      </c>
      <c r="B49" s="310"/>
      <c r="C49" s="310">
        <f>447693+195837</f>
        <v>643530</v>
      </c>
    </row>
    <row r="50" spans="1:3" ht="12.75" hidden="1">
      <c r="A50" s="412" t="s">
        <v>705</v>
      </c>
      <c r="B50" s="310"/>
      <c r="C50" s="310"/>
    </row>
    <row r="51" spans="1:3" ht="12.75" hidden="1">
      <c r="A51" s="413" t="s">
        <v>706</v>
      </c>
      <c r="B51" s="310"/>
      <c r="C51" s="310"/>
    </row>
    <row r="52" spans="1:3" ht="12.75">
      <c r="A52" s="413" t="s">
        <v>574</v>
      </c>
      <c r="B52" s="310"/>
      <c r="C52" s="310">
        <f>1764</f>
        <v>1764</v>
      </c>
    </row>
    <row r="53" spans="1:3" ht="12.75">
      <c r="A53" s="413" t="s">
        <v>575</v>
      </c>
      <c r="B53" s="310"/>
      <c r="C53" s="310">
        <f>28125+16714</f>
        <v>44839</v>
      </c>
    </row>
    <row r="54" spans="1:3" ht="24.75" thickBot="1">
      <c r="A54" s="414" t="s">
        <v>33</v>
      </c>
      <c r="B54" s="311">
        <f>SUM(B49:B53)</f>
        <v>0</v>
      </c>
      <c r="C54" s="311">
        <f>SUM(C49:C53)</f>
        <v>690133</v>
      </c>
    </row>
    <row r="55" spans="1:3" ht="12.75" hidden="1">
      <c r="A55" s="415"/>
      <c r="B55" s="348" t="str">
        <f>IF(B54=B11+B33,"OK.","BŁĄD")</f>
        <v>OK.</v>
      </c>
      <c r="C55" s="348" t="str">
        <f>IF(C54=C11+C33,"OK.","BŁĄD")</f>
        <v>OK.</v>
      </c>
    </row>
    <row r="56" spans="1:3" ht="19.5" thickBot="1">
      <c r="A56" s="410" t="s">
        <v>477</v>
      </c>
      <c r="B56" s="312"/>
      <c r="C56" s="312"/>
    </row>
    <row r="57" spans="1:3" ht="36">
      <c r="A57" s="411" t="s">
        <v>35</v>
      </c>
      <c r="B57" s="302" t="e">
        <f>B4</f>
        <v>#REF!</v>
      </c>
      <c r="C57" s="302" t="e">
        <f>C4</f>
        <v>#REF!</v>
      </c>
    </row>
    <row r="58" spans="1:3" ht="12.75">
      <c r="A58" s="412" t="s">
        <v>36</v>
      </c>
      <c r="B58" s="310"/>
      <c r="C58" s="310">
        <f>1764+492532</f>
        <v>494296</v>
      </c>
    </row>
    <row r="59" spans="1:3" ht="12.75">
      <c r="A59" s="412" t="s">
        <v>37</v>
      </c>
      <c r="B59" s="310"/>
      <c r="C59" s="310">
        <v>157223</v>
      </c>
    </row>
    <row r="60" spans="1:3" ht="12.75">
      <c r="A60" s="413" t="s">
        <v>346</v>
      </c>
      <c r="B60" s="310"/>
      <c r="C60" s="310">
        <f>20108+5175+2061+9354-1655</f>
        <v>35043</v>
      </c>
    </row>
    <row r="61" spans="1:3" ht="12.75">
      <c r="A61" s="413" t="s">
        <v>38</v>
      </c>
      <c r="B61" s="310"/>
      <c r="C61" s="310">
        <f>3571</f>
        <v>3571</v>
      </c>
    </row>
    <row r="62" spans="1:3" ht="24.75" thickBot="1">
      <c r="A62" s="414" t="s">
        <v>33</v>
      </c>
      <c r="B62" s="311">
        <f>SUM(B58:B61)</f>
        <v>0</v>
      </c>
      <c r="C62" s="311">
        <f>SUM(C58:C61)</f>
        <v>690133</v>
      </c>
    </row>
    <row r="63" spans="1:3" ht="12.75" hidden="1">
      <c r="A63" s="404"/>
      <c r="B63" s="348" t="str">
        <f>IF(B58=B16+B38,"OK.","BŁĄD")</f>
        <v>OK.</v>
      </c>
      <c r="C63" s="348" t="str">
        <f>IF(C58=C16+C38,"OK.","BŁĄD")</f>
        <v>OK.</v>
      </c>
    </row>
    <row r="64" spans="1:3" ht="13.5" customHeight="1" hidden="1">
      <c r="A64" s="404"/>
      <c r="B64" s="348" t="str">
        <f>IF(B59+B60+B61=B18+B40,"OK.","BŁĄD")</f>
        <v>OK.</v>
      </c>
      <c r="C64" s="348" t="str">
        <f>IF(C59+C60+C61=C18+C40,"OK.","BŁĄD")</f>
        <v>OK.</v>
      </c>
    </row>
    <row r="65" spans="1:3" ht="13.5" customHeight="1" hidden="1">
      <c r="A65" s="404"/>
      <c r="B65" s="348" t="str">
        <f>IF(B62=B54,"OK.","BŁĄD")</f>
        <v>OK.</v>
      </c>
      <c r="C65" s="348" t="str">
        <f>IF(C62=C54,"OK.","BŁĄD")</f>
        <v>OK.</v>
      </c>
    </row>
    <row r="66" spans="1:3" ht="12.75" customHeight="1" hidden="1">
      <c r="A66" s="404"/>
      <c r="B66" s="348" t="e">
        <f>IF(B70=#REF!+#REF!,"OK.","BŁĄD")</f>
        <v>#REF!</v>
      </c>
      <c r="C66" s="312"/>
    </row>
    <row r="67" spans="1:3" ht="12.75" customHeight="1">
      <c r="A67" s="404"/>
      <c r="B67" s="348"/>
      <c r="C67" s="312"/>
    </row>
    <row r="68" spans="1:3" ht="17.25" thickBot="1">
      <c r="A68" s="390" t="s">
        <v>478</v>
      </c>
      <c r="C68" s="416"/>
    </row>
    <row r="69" spans="1:3" ht="12.75">
      <c r="A69" s="374" t="s">
        <v>124</v>
      </c>
      <c r="B69" s="302" t="e">
        <f>B4</f>
        <v>#REF!</v>
      </c>
      <c r="C69" s="302" t="e">
        <f>C4</f>
        <v>#REF!</v>
      </c>
    </row>
    <row r="70" spans="1:4" ht="12.75">
      <c r="A70" s="417" t="s">
        <v>188</v>
      </c>
      <c r="B70" s="310"/>
      <c r="C70" s="310">
        <v>2483</v>
      </c>
      <c r="D70" s="348"/>
    </row>
    <row r="71" spans="1:3" ht="12.75">
      <c r="A71" s="417" t="s">
        <v>226</v>
      </c>
      <c r="B71" s="310"/>
      <c r="C71" s="310">
        <v>5269</v>
      </c>
    </row>
    <row r="72" spans="1:3" ht="12.75">
      <c r="A72" s="417" t="s">
        <v>171</v>
      </c>
      <c r="B72" s="310"/>
      <c r="C72" s="310">
        <v>501879</v>
      </c>
    </row>
    <row r="73" spans="1:3" ht="12.75">
      <c r="A73" s="417" t="s">
        <v>172</v>
      </c>
      <c r="B73" s="310"/>
      <c r="C73" s="310">
        <v>7117</v>
      </c>
    </row>
    <row r="74" spans="1:3" ht="12.75" customHeight="1">
      <c r="A74" s="417" t="s">
        <v>173</v>
      </c>
      <c r="B74" s="310"/>
      <c r="C74" s="310">
        <v>107844</v>
      </c>
    </row>
    <row r="75" spans="1:3" ht="12.75" customHeight="1">
      <c r="A75" s="417" t="s">
        <v>174</v>
      </c>
      <c r="B75" s="310"/>
      <c r="C75" s="310">
        <v>28248</v>
      </c>
    </row>
    <row r="76" spans="1:3" ht="12.75">
      <c r="A76" s="417" t="s">
        <v>175</v>
      </c>
      <c r="B76" s="310">
        <f>SUM(B77:B81)</f>
        <v>0</v>
      </c>
      <c r="C76" s="310">
        <f>SUM(C77:C81)</f>
        <v>18904</v>
      </c>
    </row>
    <row r="77" spans="1:3" ht="12.75">
      <c r="A77" s="418" t="s">
        <v>296</v>
      </c>
      <c r="B77" s="419"/>
      <c r="C77" s="419">
        <f>4404+696+2490</f>
        <v>7590</v>
      </c>
    </row>
    <row r="78" spans="1:3" ht="12.75">
      <c r="A78" s="418" t="s">
        <v>297</v>
      </c>
      <c r="B78" s="419"/>
      <c r="C78" s="419">
        <v>2820</v>
      </c>
    </row>
    <row r="79" spans="1:3" ht="12.75">
      <c r="A79" s="418" t="s">
        <v>299</v>
      </c>
      <c r="B79" s="419"/>
      <c r="C79" s="419">
        <f>1084+113+252</f>
        <v>1449</v>
      </c>
    </row>
    <row r="80" spans="1:3" ht="12.75">
      <c r="A80" s="418" t="s">
        <v>811</v>
      </c>
      <c r="B80" s="419"/>
      <c r="C80" s="419">
        <f>786+458+7+1192</f>
        <v>2443</v>
      </c>
    </row>
    <row r="81" spans="1:3" ht="12.75">
      <c r="A81" s="418" t="s">
        <v>298</v>
      </c>
      <c r="B81" s="419"/>
      <c r="C81" s="419">
        <f>7984-1251-1449-794+106+6</f>
        <v>4602</v>
      </c>
    </row>
    <row r="82" spans="1:3" ht="12.75">
      <c r="A82" s="420" t="s">
        <v>125</v>
      </c>
      <c r="B82" s="384">
        <f>SUM(B70:B76)</f>
        <v>0</v>
      </c>
      <c r="C82" s="384">
        <f>SUM(C70:C76)</f>
        <v>671744</v>
      </c>
    </row>
    <row r="83" spans="1:3" ht="12.75" customHeight="1">
      <c r="A83" s="421" t="s">
        <v>438</v>
      </c>
      <c r="B83" s="422"/>
      <c r="C83" s="422">
        <v>-1202</v>
      </c>
    </row>
    <row r="84" spans="1:3" ht="24">
      <c r="A84" s="421" t="s">
        <v>439</v>
      </c>
      <c r="B84" s="422">
        <v>0</v>
      </c>
      <c r="C84" s="422">
        <v>0</v>
      </c>
    </row>
    <row r="85" spans="1:3" ht="12.75">
      <c r="A85" s="421" t="s">
        <v>434</v>
      </c>
      <c r="B85" s="422"/>
      <c r="C85" s="422">
        <v>-12293</v>
      </c>
    </row>
    <row r="86" spans="1:3" ht="12.75">
      <c r="A86" s="421" t="s">
        <v>435</v>
      </c>
      <c r="B86" s="422"/>
      <c r="C86" s="422">
        <v>-41144</v>
      </c>
    </row>
    <row r="87" spans="1:3" ht="15" customHeight="1" thickBot="1">
      <c r="A87" s="376" t="s">
        <v>436</v>
      </c>
      <c r="B87" s="423">
        <f>SUM(B82:B86)</f>
        <v>0</v>
      </c>
      <c r="C87" s="423">
        <f>SUM(C82:C86)</f>
        <v>617105</v>
      </c>
    </row>
    <row r="88" spans="1:3" ht="12.75">
      <c r="A88" s="424"/>
      <c r="B88" s="425"/>
      <c r="C88" s="342"/>
    </row>
    <row r="89" spans="1:2" ht="17.25" thickBot="1">
      <c r="A89" s="383" t="s">
        <v>479</v>
      </c>
      <c r="B89" s="312"/>
    </row>
    <row r="90" spans="1:3" ht="15" customHeight="1">
      <c r="A90" s="374" t="s">
        <v>440</v>
      </c>
      <c r="B90" s="302" t="e">
        <f>B4</f>
        <v>#REF!</v>
      </c>
      <c r="C90" s="302" t="e">
        <f>C4</f>
        <v>#REF!</v>
      </c>
    </row>
    <row r="91" spans="1:3" ht="12.75">
      <c r="A91" s="375" t="s">
        <v>444</v>
      </c>
      <c r="B91" s="384">
        <f>SUM(B92:B94)</f>
        <v>0</v>
      </c>
      <c r="C91" s="384">
        <f>SUM(C92:C94)</f>
        <v>4292</v>
      </c>
    </row>
    <row r="92" spans="1:3" ht="12.75">
      <c r="A92" s="385" t="s">
        <v>527</v>
      </c>
      <c r="B92" s="373"/>
      <c r="C92" s="373">
        <v>1604</v>
      </c>
    </row>
    <row r="93" spans="1:3" ht="12.75">
      <c r="A93" s="386" t="s">
        <v>146</v>
      </c>
      <c r="B93" s="373"/>
      <c r="C93" s="373">
        <v>1777</v>
      </c>
    </row>
    <row r="94" spans="1:3" ht="12.75" customHeight="1">
      <c r="A94" s="385" t="s">
        <v>441</v>
      </c>
      <c r="B94" s="373"/>
      <c r="C94" s="373">
        <f>758+153</f>
        <v>911</v>
      </c>
    </row>
    <row r="95" spans="1:3" ht="12.75">
      <c r="A95" s="375" t="s">
        <v>442</v>
      </c>
      <c r="B95" s="384">
        <f>SUM(B96:B99)</f>
        <v>0</v>
      </c>
      <c r="C95" s="384">
        <f>SUM(C96:C99)</f>
        <v>104</v>
      </c>
    </row>
    <row r="96" spans="1:3" ht="12.75">
      <c r="A96" s="385" t="s">
        <v>443</v>
      </c>
      <c r="B96" s="372"/>
      <c r="C96" s="372">
        <v>3</v>
      </c>
    </row>
    <row r="97" spans="1:3" ht="12.75">
      <c r="A97" s="385" t="s">
        <v>295</v>
      </c>
      <c r="B97" s="372"/>
      <c r="C97" s="372">
        <v>5</v>
      </c>
    </row>
    <row r="98" spans="1:3" ht="12.75" customHeight="1">
      <c r="A98" s="385" t="s">
        <v>227</v>
      </c>
      <c r="B98" s="372"/>
      <c r="C98" s="372">
        <v>0</v>
      </c>
    </row>
    <row r="99" spans="1:4" ht="12.75">
      <c r="A99" s="385" t="s">
        <v>915</v>
      </c>
      <c r="B99" s="372"/>
      <c r="C99" s="372">
        <f>94+2</f>
        <v>96</v>
      </c>
      <c r="D99" s="554"/>
    </row>
    <row r="100" spans="1:4" ht="13.5" thickBot="1">
      <c r="A100" s="376" t="s">
        <v>524</v>
      </c>
      <c r="B100" s="311">
        <f>B91+B95</f>
        <v>0</v>
      </c>
      <c r="C100" s="311">
        <f>C91+C95</f>
        <v>4396</v>
      </c>
      <c r="D100" s="554"/>
    </row>
    <row r="101" spans="1:3" ht="12.75">
      <c r="A101" s="387"/>
      <c r="B101" s="307"/>
      <c r="C101" s="307"/>
    </row>
    <row r="102" spans="1:3" ht="17.25" thickBot="1">
      <c r="A102" s="383" t="s">
        <v>8</v>
      </c>
      <c r="B102" s="312"/>
      <c r="C102" s="312"/>
    </row>
    <row r="103" spans="1:3" ht="15" customHeight="1">
      <c r="A103" s="374" t="s">
        <v>522</v>
      </c>
      <c r="B103" s="302" t="e">
        <f>B4</f>
        <v>#REF!</v>
      </c>
      <c r="C103" s="302" t="e">
        <f>C4</f>
        <v>#REF!</v>
      </c>
    </row>
    <row r="104" spans="1:3" ht="12.75">
      <c r="A104" s="377" t="s">
        <v>445</v>
      </c>
      <c r="B104" s="384">
        <f>SUM(B105:B108)</f>
        <v>0</v>
      </c>
      <c r="C104" s="384">
        <f>SUM(C105:C108)</f>
        <v>0</v>
      </c>
    </row>
    <row r="105" spans="1:3" ht="12.75">
      <c r="A105" s="386" t="s">
        <v>924</v>
      </c>
      <c r="B105" s="309">
        <v>0</v>
      </c>
      <c r="C105" s="309">
        <v>0</v>
      </c>
    </row>
    <row r="106" spans="1:3" ht="12.75">
      <c r="A106" s="386" t="s">
        <v>925</v>
      </c>
      <c r="B106" s="309">
        <v>0</v>
      </c>
      <c r="C106" s="309">
        <v>0</v>
      </c>
    </row>
    <row r="107" spans="1:3" ht="12" customHeight="1" hidden="1">
      <c r="A107" s="386" t="s">
        <v>146</v>
      </c>
      <c r="B107" s="372"/>
      <c r="C107" s="309"/>
    </row>
    <row r="108" spans="1:3" ht="12.75" hidden="1">
      <c r="A108" s="386" t="s">
        <v>915</v>
      </c>
      <c r="B108" s="309"/>
      <c r="C108" s="309"/>
    </row>
    <row r="109" spans="1:3" ht="12.75">
      <c r="A109" s="375" t="s">
        <v>442</v>
      </c>
      <c r="B109" s="384">
        <f>SUM(B110:B118)</f>
        <v>0</v>
      </c>
      <c r="C109" s="384">
        <f>SUM(C110:C118)</f>
        <v>7095</v>
      </c>
    </row>
    <row r="110" spans="1:3" ht="12.75">
      <c r="A110" s="386" t="s">
        <v>147</v>
      </c>
      <c r="B110" s="310"/>
      <c r="C110" s="310">
        <v>2009</v>
      </c>
    </row>
    <row r="111" spans="1:3" ht="12.75">
      <c r="A111" s="386" t="s">
        <v>805</v>
      </c>
      <c r="B111" s="373"/>
      <c r="C111" s="373">
        <f>3+215</f>
        <v>218</v>
      </c>
    </row>
    <row r="112" spans="1:3" ht="12.75">
      <c r="A112" s="386" t="s">
        <v>806</v>
      </c>
      <c r="B112" s="372"/>
      <c r="C112" s="372">
        <v>0</v>
      </c>
    </row>
    <row r="113" spans="1:3" ht="12.75">
      <c r="A113" s="386" t="s">
        <v>431</v>
      </c>
      <c r="B113" s="372"/>
      <c r="C113" s="372">
        <v>3249</v>
      </c>
    </row>
    <row r="114" spans="1:3" ht="12.75">
      <c r="A114" s="386" t="s">
        <v>432</v>
      </c>
      <c r="B114" s="372"/>
      <c r="C114" s="372">
        <f>57+175</f>
        <v>232</v>
      </c>
    </row>
    <row r="115" spans="1:3" ht="12.75" customHeight="1">
      <c r="A115" s="386" t="s">
        <v>493</v>
      </c>
      <c r="B115" s="372"/>
      <c r="C115" s="372">
        <v>48</v>
      </c>
    </row>
    <row r="116" spans="1:3" ht="12.75">
      <c r="A116" s="386" t="s">
        <v>433</v>
      </c>
      <c r="B116" s="372"/>
      <c r="C116" s="372">
        <v>0</v>
      </c>
    </row>
    <row r="117" spans="1:3" ht="12.75">
      <c r="A117" s="386" t="s">
        <v>291</v>
      </c>
      <c r="B117" s="372"/>
      <c r="C117" s="372">
        <v>18</v>
      </c>
    </row>
    <row r="118" spans="1:3" ht="12.75">
      <c r="A118" s="386" t="s">
        <v>353</v>
      </c>
      <c r="B118" s="372"/>
      <c r="C118" s="372">
        <f>51+164+1042+600-202-334</f>
        <v>1321</v>
      </c>
    </row>
    <row r="119" spans="1:3" ht="13.5" thickBot="1">
      <c r="A119" s="376" t="s">
        <v>523</v>
      </c>
      <c r="B119" s="311">
        <f>B104+B109</f>
        <v>0</v>
      </c>
      <c r="C119" s="311">
        <f>C104+C109</f>
        <v>7095</v>
      </c>
    </row>
    <row r="120" spans="1:2" ht="12.75">
      <c r="A120" s="378"/>
      <c r="B120" s="312"/>
    </row>
    <row r="121" ht="17.25" thickBot="1">
      <c r="A121" s="379" t="s">
        <v>9</v>
      </c>
    </row>
    <row r="122" spans="1:3" ht="24" customHeight="1">
      <c r="A122" s="388" t="s">
        <v>156</v>
      </c>
      <c r="B122" s="302" t="e">
        <f>B4</f>
        <v>#REF!</v>
      </c>
      <c r="C122" s="302" t="e">
        <f>C4</f>
        <v>#REF!</v>
      </c>
    </row>
    <row r="123" spans="1:3" ht="12.75">
      <c r="A123" s="380" t="s">
        <v>348</v>
      </c>
      <c r="B123" s="322">
        <v>0</v>
      </c>
      <c r="C123" s="322">
        <v>0</v>
      </c>
    </row>
    <row r="124" spans="1:3" ht="12.75">
      <c r="A124" s="381" t="s">
        <v>347</v>
      </c>
      <c r="B124" s="322">
        <v>0</v>
      </c>
      <c r="C124" s="322">
        <v>0</v>
      </c>
    </row>
    <row r="125" spans="1:3" ht="12.75">
      <c r="A125" s="381" t="s">
        <v>349</v>
      </c>
      <c r="B125" s="322"/>
      <c r="C125" s="322">
        <f>6048+202</f>
        <v>6250</v>
      </c>
    </row>
    <row r="126" spans="1:3" ht="12.75">
      <c r="A126" s="381" t="s">
        <v>350</v>
      </c>
      <c r="B126" s="322"/>
      <c r="C126" s="322">
        <v>219</v>
      </c>
    </row>
    <row r="127" spans="1:3" ht="12.75" customHeight="1" thickBot="1">
      <c r="A127" s="382" t="s">
        <v>157</v>
      </c>
      <c r="B127" s="347">
        <f>SUM(B123:B126)</f>
        <v>0</v>
      </c>
      <c r="C127" s="347">
        <f>SUM(C123:C126)</f>
        <v>6469</v>
      </c>
    </row>
    <row r="129" spans="1:2" ht="17.25" thickBot="1">
      <c r="A129" s="383" t="s">
        <v>480</v>
      </c>
      <c r="B129" s="312"/>
    </row>
    <row r="130" spans="1:3" ht="24">
      <c r="A130" s="427" t="s">
        <v>525</v>
      </c>
      <c r="B130" s="302" t="e">
        <f>B4</f>
        <v>#REF!</v>
      </c>
      <c r="C130" s="302" t="e">
        <f>C4</f>
        <v>#REF!</v>
      </c>
    </row>
    <row r="131" spans="1:3" ht="12.75">
      <c r="A131" s="377" t="s">
        <v>52</v>
      </c>
      <c r="B131" s="303">
        <f>SUM(B132:B136)</f>
        <v>0</v>
      </c>
      <c r="C131" s="303">
        <f>SUM(C132:C136)</f>
        <v>6435</v>
      </c>
    </row>
    <row r="132" spans="1:3" ht="12.75">
      <c r="A132" s="428" t="s">
        <v>476</v>
      </c>
      <c r="B132" s="310"/>
      <c r="C132" s="310">
        <v>6421</v>
      </c>
    </row>
    <row r="133" spans="1:3" ht="12.75" hidden="1">
      <c r="A133" s="428" t="s">
        <v>129</v>
      </c>
      <c r="B133" s="310"/>
      <c r="C133" s="310"/>
    </row>
    <row r="134" spans="1:3" ht="12.75">
      <c r="A134" s="428" t="s">
        <v>130</v>
      </c>
      <c r="B134" s="310"/>
      <c r="C134" s="310">
        <v>14</v>
      </c>
    </row>
    <row r="135" spans="1:3" ht="12.75" hidden="1">
      <c r="A135" s="429" t="s">
        <v>417</v>
      </c>
      <c r="B135" s="310"/>
      <c r="C135" s="310"/>
    </row>
    <row r="136" spans="1:3" ht="12.75" hidden="1">
      <c r="A136" s="428" t="s">
        <v>131</v>
      </c>
      <c r="B136" s="310"/>
      <c r="C136" s="310"/>
    </row>
    <row r="137" spans="1:3" ht="15.75" customHeight="1">
      <c r="A137" s="377" t="s">
        <v>744</v>
      </c>
      <c r="B137" s="303">
        <v>0</v>
      </c>
      <c r="C137" s="303">
        <v>0</v>
      </c>
    </row>
    <row r="138" spans="1:3" ht="27.75" customHeight="1" thickBot="1">
      <c r="A138" s="376" t="s">
        <v>526</v>
      </c>
      <c r="B138" s="311">
        <f>B131+B137</f>
        <v>0</v>
      </c>
      <c r="C138" s="311">
        <f>C131+C137</f>
        <v>6435</v>
      </c>
    </row>
    <row r="139" spans="1:3" ht="12.75">
      <c r="A139" s="387"/>
      <c r="B139" s="307"/>
      <c r="C139" s="307"/>
    </row>
    <row r="140" spans="1:3" ht="17.25" thickBot="1">
      <c r="A140" s="383" t="s">
        <v>955</v>
      </c>
      <c r="B140" s="312"/>
      <c r="C140" s="312"/>
    </row>
    <row r="141" spans="1:3" ht="15" customHeight="1">
      <c r="A141" s="427" t="s">
        <v>745</v>
      </c>
      <c r="B141" s="302" t="e">
        <f>B4</f>
        <v>#REF!</v>
      </c>
      <c r="C141" s="302" t="e">
        <f>C4</f>
        <v>#REF!</v>
      </c>
    </row>
    <row r="142" spans="1:3" ht="12.75">
      <c r="A142" s="377" t="s">
        <v>746</v>
      </c>
      <c r="B142" s="303">
        <f>B143+B149</f>
        <v>0</v>
      </c>
      <c r="C142" s="303">
        <f>C143+C149</f>
        <v>194</v>
      </c>
    </row>
    <row r="143" spans="1:3" ht="12.75">
      <c r="A143" s="430" t="s">
        <v>747</v>
      </c>
      <c r="B143" s="371">
        <f>SUM(B144:B148)</f>
        <v>0</v>
      </c>
      <c r="C143" s="371">
        <f>SUM(C144:C148)</f>
        <v>194</v>
      </c>
    </row>
    <row r="144" spans="1:3" ht="12.75">
      <c r="A144" s="428" t="s">
        <v>410</v>
      </c>
      <c r="B144" s="310"/>
      <c r="C144" s="310">
        <v>194</v>
      </c>
    </row>
    <row r="145" spans="1:3" ht="12.75" hidden="1">
      <c r="A145" s="428" t="s">
        <v>16</v>
      </c>
      <c r="B145" s="310"/>
      <c r="C145" s="310"/>
    </row>
    <row r="146" spans="1:3" ht="12.75" hidden="1">
      <c r="A146" s="428" t="s">
        <v>14</v>
      </c>
      <c r="B146" s="310"/>
      <c r="C146" s="310"/>
    </row>
    <row r="147" spans="1:3" ht="12.75" hidden="1">
      <c r="A147" s="429" t="s">
        <v>696</v>
      </c>
      <c r="B147" s="310"/>
      <c r="C147" s="310"/>
    </row>
    <row r="148" spans="1:3" ht="12.75" hidden="1">
      <c r="A148" s="428" t="s">
        <v>15</v>
      </c>
      <c r="B148" s="310"/>
      <c r="C148" s="310"/>
    </row>
    <row r="149" spans="1:3" ht="12.75">
      <c r="A149" s="428" t="s">
        <v>695</v>
      </c>
      <c r="B149" s="310">
        <v>0</v>
      </c>
      <c r="C149" s="310">
        <v>0</v>
      </c>
    </row>
    <row r="150" spans="1:3" ht="12.75">
      <c r="A150" s="377" t="s">
        <v>862</v>
      </c>
      <c r="B150" s="303">
        <f>B151+B157</f>
        <v>0</v>
      </c>
      <c r="C150" s="303">
        <f>C151+C157</f>
        <v>1724</v>
      </c>
    </row>
    <row r="151" spans="1:3" ht="12.75">
      <c r="A151" s="430" t="s">
        <v>747</v>
      </c>
      <c r="B151" s="371">
        <f>SUM(B152:B156)</f>
        <v>0</v>
      </c>
      <c r="C151" s="371">
        <f>SUM(C152:C156)</f>
        <v>497</v>
      </c>
    </row>
    <row r="152" spans="1:3" ht="12.75">
      <c r="A152" s="428" t="s">
        <v>410</v>
      </c>
      <c r="B152" s="309"/>
      <c r="C152" s="309">
        <f>691-194</f>
        <v>497</v>
      </c>
    </row>
    <row r="153" spans="1:3" ht="12.75" hidden="1">
      <c r="A153" s="428" t="s">
        <v>16</v>
      </c>
      <c r="B153" s="309"/>
      <c r="C153" s="309"/>
    </row>
    <row r="154" spans="1:3" ht="12.75" hidden="1">
      <c r="A154" s="428" t="s">
        <v>14</v>
      </c>
      <c r="B154" s="309"/>
      <c r="C154" s="309"/>
    </row>
    <row r="155" spans="1:3" ht="12.75" hidden="1">
      <c r="A155" s="429" t="s">
        <v>696</v>
      </c>
      <c r="B155" s="309"/>
      <c r="C155" s="309"/>
    </row>
    <row r="156" spans="1:5" ht="12.75" hidden="1">
      <c r="A156" s="428" t="s">
        <v>15</v>
      </c>
      <c r="B156" s="309"/>
      <c r="C156" s="309"/>
      <c r="E156" s="394"/>
    </row>
    <row r="157" spans="1:3" ht="12.75">
      <c r="A157" s="428" t="s">
        <v>695</v>
      </c>
      <c r="B157" s="309"/>
      <c r="C157" s="309">
        <f>2548-1161+318+19-497</f>
        <v>1227</v>
      </c>
    </row>
    <row r="158" spans="1:3" ht="13.5" thickBot="1">
      <c r="A158" s="376" t="s">
        <v>863</v>
      </c>
      <c r="B158" s="311">
        <f>B142+B150</f>
        <v>0</v>
      </c>
      <c r="C158" s="311">
        <f>C142+C150</f>
        <v>1918</v>
      </c>
    </row>
    <row r="159" spans="1:3" ht="12.75">
      <c r="A159" s="387"/>
      <c r="B159" s="307"/>
      <c r="C159" s="307"/>
    </row>
    <row r="160" spans="1:3" ht="17.25" thickBot="1">
      <c r="A160" s="383" t="s">
        <v>956</v>
      </c>
      <c r="B160" s="312"/>
      <c r="C160" s="312"/>
    </row>
    <row r="161" spans="1:3" ht="15" customHeight="1">
      <c r="A161" s="374" t="s">
        <v>864</v>
      </c>
      <c r="B161" s="302" t="e">
        <f>B4</f>
        <v>#REF!</v>
      </c>
      <c r="C161" s="302" t="e">
        <f>C4</f>
        <v>#REF!</v>
      </c>
    </row>
    <row r="162" spans="1:3" ht="12.75">
      <c r="A162" s="377" t="s">
        <v>865</v>
      </c>
      <c r="B162" s="303">
        <f>SUM(B163:B164)</f>
        <v>0</v>
      </c>
      <c r="C162" s="303">
        <f>SUM(C163:C164)</f>
        <v>0</v>
      </c>
    </row>
    <row r="163" spans="1:3" ht="12.75" hidden="1">
      <c r="A163" s="429" t="s">
        <v>259</v>
      </c>
      <c r="B163" s="372"/>
      <c r="C163" s="309"/>
    </row>
    <row r="164" spans="1:3" ht="12.75" hidden="1">
      <c r="A164" s="429" t="s">
        <v>260</v>
      </c>
      <c r="B164" s="372"/>
      <c r="C164" s="309"/>
    </row>
    <row r="165" spans="1:3" ht="12.75">
      <c r="A165" s="377" t="s">
        <v>881</v>
      </c>
      <c r="B165" s="303">
        <f>SUM(B166:B168)</f>
        <v>0</v>
      </c>
      <c r="C165" s="303">
        <f>SUM(C166:C168)</f>
        <v>0</v>
      </c>
    </row>
    <row r="166" spans="1:3" ht="12.75" hidden="1">
      <c r="A166" s="429" t="s">
        <v>832</v>
      </c>
      <c r="B166" s="309"/>
      <c r="C166" s="309"/>
    </row>
    <row r="167" spans="1:3" ht="12.75" hidden="1">
      <c r="A167" s="429" t="s">
        <v>318</v>
      </c>
      <c r="B167" s="309"/>
      <c r="C167" s="309"/>
    </row>
    <row r="168" spans="1:3" ht="12.75" hidden="1">
      <c r="A168" s="429" t="s">
        <v>318</v>
      </c>
      <c r="B168" s="309"/>
      <c r="C168" s="309"/>
    </row>
    <row r="169" spans="1:3" ht="12.75">
      <c r="A169" s="377" t="s">
        <v>150</v>
      </c>
      <c r="B169" s="303">
        <f>SUM(B170:B173)</f>
        <v>0</v>
      </c>
      <c r="C169" s="303">
        <f>SUM(C170:C173)</f>
        <v>80</v>
      </c>
    </row>
    <row r="170" spans="1:3" ht="12.75" hidden="1">
      <c r="A170" s="385" t="s">
        <v>158</v>
      </c>
      <c r="B170" s="310"/>
      <c r="C170" s="310"/>
    </row>
    <row r="171" spans="1:3" ht="12.75" hidden="1">
      <c r="A171" s="385" t="s">
        <v>159</v>
      </c>
      <c r="B171" s="310"/>
      <c r="C171" s="310"/>
    </row>
    <row r="172" spans="1:3" ht="12.75" hidden="1">
      <c r="A172" s="385" t="s">
        <v>837</v>
      </c>
      <c r="B172" s="310"/>
      <c r="C172" s="310"/>
    </row>
    <row r="173" spans="1:3" ht="12.75">
      <c r="A173" s="385" t="s">
        <v>915</v>
      </c>
      <c r="B173" s="373"/>
      <c r="C173" s="373">
        <f>434841-434761</f>
        <v>80</v>
      </c>
    </row>
    <row r="174" spans="1:3" ht="13.5" thickBot="1">
      <c r="A174" s="376" t="s">
        <v>895</v>
      </c>
      <c r="B174" s="311">
        <f>B162+B165+B169</f>
        <v>0</v>
      </c>
      <c r="C174" s="311">
        <f>C162+C165+C169</f>
        <v>80</v>
      </c>
    </row>
    <row r="175" spans="1:2" ht="17.25" customHeight="1">
      <c r="A175" s="378"/>
      <c r="B175" s="312"/>
    </row>
    <row r="176" spans="1:15" ht="17.25" thickBot="1">
      <c r="A176" s="383" t="s">
        <v>957</v>
      </c>
      <c r="B176" s="312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</row>
    <row r="177" spans="1:15" ht="15" customHeight="1">
      <c r="A177" s="374" t="s">
        <v>896</v>
      </c>
      <c r="B177" s="302" t="e">
        <f>B4</f>
        <v>#REF!</v>
      </c>
      <c r="C177" s="302" t="e">
        <f>C4</f>
        <v>#REF!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</row>
    <row r="178" spans="1:15" ht="12.75">
      <c r="A178" s="377" t="s">
        <v>897</v>
      </c>
      <c r="B178" s="303">
        <f>B179+B185</f>
        <v>0</v>
      </c>
      <c r="C178" s="303">
        <f>C179+C185</f>
        <v>6042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</row>
    <row r="179" spans="1:15" ht="12.75">
      <c r="A179" s="430" t="s">
        <v>334</v>
      </c>
      <c r="B179" s="371">
        <f>SUM(B180:B184)</f>
        <v>0</v>
      </c>
      <c r="C179" s="371">
        <f>SUM(C180:C184)</f>
        <v>0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</row>
    <row r="180" spans="1:15" ht="12.75" hidden="1">
      <c r="A180" s="428" t="s">
        <v>335</v>
      </c>
      <c r="B180" s="310"/>
      <c r="C180" s="310"/>
      <c r="D180" s="426"/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</row>
    <row r="181" spans="1:15" ht="12.75" hidden="1">
      <c r="A181" s="428" t="s">
        <v>336</v>
      </c>
      <c r="B181" s="310"/>
      <c r="C181" s="310"/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</row>
    <row r="182" spans="1:15" ht="12.75" hidden="1">
      <c r="A182" s="428" t="s">
        <v>202</v>
      </c>
      <c r="B182" s="310"/>
      <c r="C182" s="310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</row>
    <row r="183" spans="1:15" ht="12.75" hidden="1">
      <c r="A183" s="429" t="s">
        <v>203</v>
      </c>
      <c r="B183" s="310"/>
      <c r="C183" s="310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</row>
    <row r="184" spans="1:15" ht="12.75" hidden="1">
      <c r="A184" s="428" t="s">
        <v>204</v>
      </c>
      <c r="B184" s="310"/>
      <c r="C184" s="310"/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</row>
    <row r="185" spans="1:15" ht="12.75">
      <c r="A185" s="428" t="s">
        <v>329</v>
      </c>
      <c r="B185" s="310"/>
      <c r="C185" s="310">
        <f>1111+4254+536+141</f>
        <v>6042</v>
      </c>
      <c r="D185" s="426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</row>
    <row r="186" spans="1:15" ht="12.75">
      <c r="A186" s="377" t="s">
        <v>862</v>
      </c>
      <c r="B186" s="303">
        <f>B187+B193</f>
        <v>0</v>
      </c>
      <c r="C186" s="303">
        <f>C187+C193</f>
        <v>5907</v>
      </c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</row>
    <row r="187" spans="1:15" ht="12.75">
      <c r="A187" s="430" t="s">
        <v>334</v>
      </c>
      <c r="B187" s="371">
        <f>SUM(B188:B192)</f>
        <v>0</v>
      </c>
      <c r="C187" s="371">
        <f>SUM(C188:C192)</f>
        <v>4924</v>
      </c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</row>
    <row r="188" spans="1:15" ht="12.75">
      <c r="A188" s="428" t="s">
        <v>335</v>
      </c>
      <c r="B188" s="310"/>
      <c r="C188" s="310">
        <f>1098+3234-102+38</f>
        <v>4268</v>
      </c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</row>
    <row r="189" spans="1:15" ht="12.75" hidden="1">
      <c r="A189" s="428" t="s">
        <v>336</v>
      </c>
      <c r="B189" s="310"/>
      <c r="C189" s="310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</row>
    <row r="190" spans="1:15" ht="12.75">
      <c r="A190" s="428" t="s">
        <v>202</v>
      </c>
      <c r="B190" s="310"/>
      <c r="C190" s="310">
        <f>815-159</f>
        <v>656</v>
      </c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</row>
    <row r="191" spans="1:15" ht="12.75" hidden="1">
      <c r="A191" s="429" t="s">
        <v>203</v>
      </c>
      <c r="B191" s="310"/>
      <c r="C191" s="310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</row>
    <row r="192" spans="1:15" ht="12.75" hidden="1">
      <c r="A192" s="428" t="s">
        <v>204</v>
      </c>
      <c r="B192" s="310"/>
      <c r="C192" s="310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</row>
    <row r="193" spans="1:15" ht="12.75">
      <c r="A193" s="428" t="s">
        <v>329</v>
      </c>
      <c r="B193" s="373"/>
      <c r="C193" s="373">
        <f>20+10+871+120-38</f>
        <v>983</v>
      </c>
      <c r="D193" s="426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</row>
    <row r="194" spans="1:15" ht="13.5" thickBot="1">
      <c r="A194" s="376" t="s">
        <v>330</v>
      </c>
      <c r="B194" s="311">
        <f>B178+B186</f>
        <v>0</v>
      </c>
      <c r="C194" s="311">
        <f>C178+C186</f>
        <v>11949</v>
      </c>
      <c r="D194" s="426"/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</row>
    <row r="195" spans="1:15" ht="12.75">
      <c r="A195" s="387"/>
      <c r="B195" s="307"/>
      <c r="C195" s="307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</row>
    <row r="196" spans="1:15" ht="17.25" thickBot="1">
      <c r="A196" s="383" t="s">
        <v>958</v>
      </c>
      <c r="B196" s="312"/>
      <c r="C196" s="312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</row>
    <row r="197" spans="1:15" ht="15" customHeight="1">
      <c r="A197" s="374" t="s">
        <v>331</v>
      </c>
      <c r="B197" s="302" t="e">
        <f>B4</f>
        <v>#REF!</v>
      </c>
      <c r="C197" s="302" t="e">
        <f>C4</f>
        <v>#REF!</v>
      </c>
      <c r="D197" s="426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</row>
    <row r="198" spans="1:15" ht="12.75">
      <c r="A198" s="377" t="s">
        <v>358</v>
      </c>
      <c r="B198" s="303">
        <f>SUM(B199:B200)</f>
        <v>0</v>
      </c>
      <c r="C198" s="303">
        <f>SUM(C199:C200)</f>
        <v>4452</v>
      </c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</row>
    <row r="199" spans="1:15" ht="12.75">
      <c r="A199" s="429" t="s">
        <v>259</v>
      </c>
      <c r="B199" s="372"/>
      <c r="C199" s="372">
        <v>189</v>
      </c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</row>
    <row r="200" spans="1:15" ht="12.75">
      <c r="A200" s="429" t="s">
        <v>260</v>
      </c>
      <c r="B200" s="372"/>
      <c r="C200" s="372">
        <v>4263</v>
      </c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</row>
    <row r="201" spans="1:15" ht="12.75">
      <c r="A201" s="377" t="s">
        <v>59</v>
      </c>
      <c r="B201" s="303">
        <f>SUM(B202:B203)</f>
        <v>0</v>
      </c>
      <c r="C201" s="303">
        <f>SUM(C202:C203)</f>
        <v>0</v>
      </c>
      <c r="D201" s="426"/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</row>
    <row r="202" spans="1:15" ht="12.75" hidden="1">
      <c r="A202" s="381" t="s">
        <v>838</v>
      </c>
      <c r="B202" s="309"/>
      <c r="C202" s="309"/>
      <c r="D202" s="426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</row>
    <row r="203" spans="1:15" ht="12.75" hidden="1">
      <c r="A203" s="381" t="s">
        <v>652</v>
      </c>
      <c r="B203" s="309"/>
      <c r="C203" s="309"/>
      <c r="D203" s="426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</row>
    <row r="204" spans="1:15" ht="12.75">
      <c r="A204" s="392" t="s">
        <v>379</v>
      </c>
      <c r="B204" s="303">
        <f>SUM(B205:B211)</f>
        <v>0</v>
      </c>
      <c r="C204" s="303">
        <f>SUM(C205:C211)</f>
        <v>1431</v>
      </c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</row>
    <row r="205" spans="1:15" ht="12.75">
      <c r="A205" s="381" t="s">
        <v>659</v>
      </c>
      <c r="B205" s="310"/>
      <c r="C205" s="310">
        <f>316+1072</f>
        <v>1388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</row>
    <row r="206" spans="1:15" ht="12.75" hidden="1">
      <c r="A206" s="381" t="s">
        <v>412</v>
      </c>
      <c r="B206" s="373"/>
      <c r="C206" s="373"/>
      <c r="D206" s="426"/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</row>
    <row r="207" spans="1:15" ht="12.75" hidden="1">
      <c r="A207" s="381" t="s">
        <v>494</v>
      </c>
      <c r="B207" s="372"/>
      <c r="C207" s="372"/>
      <c r="D207" s="426"/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</row>
    <row r="208" spans="1:15" ht="12.75" hidden="1">
      <c r="A208" s="381" t="s">
        <v>892</v>
      </c>
      <c r="B208" s="372"/>
      <c r="C208" s="372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</row>
    <row r="209" spans="1:15" ht="14.25" customHeight="1" hidden="1">
      <c r="A209" s="431" t="s">
        <v>58</v>
      </c>
      <c r="B209" s="372"/>
      <c r="C209" s="372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</row>
    <row r="210" spans="1:15" ht="12.75" hidden="1">
      <c r="A210" s="381" t="s">
        <v>159</v>
      </c>
      <c r="B210" s="372"/>
      <c r="C210" s="372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</row>
    <row r="211" spans="1:15" ht="12.75">
      <c r="A211" s="381" t="s">
        <v>915</v>
      </c>
      <c r="B211" s="372"/>
      <c r="C211" s="372">
        <f>1115-1072</f>
        <v>43</v>
      </c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</row>
    <row r="212" spans="1:15" ht="19.5" customHeight="1" thickBot="1">
      <c r="A212" s="376" t="s">
        <v>60</v>
      </c>
      <c r="B212" s="311">
        <f>B198+B201+B204</f>
        <v>0</v>
      </c>
      <c r="C212" s="311">
        <f>C198+C201+C204</f>
        <v>5883</v>
      </c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</row>
    <row r="213" spans="1:15" ht="12.75">
      <c r="A213" s="432" t="s">
        <v>359</v>
      </c>
      <c r="B213" s="367"/>
      <c r="C213" s="367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</row>
    <row r="214" spans="2:15" ht="12.75">
      <c r="B214" s="367"/>
      <c r="C214" s="367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</row>
    <row r="215" spans="1:15" s="352" customFormat="1" ht="16.5">
      <c r="A215" s="353" t="s">
        <v>740</v>
      </c>
      <c r="B215" s="312"/>
      <c r="C215" s="312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</row>
    <row r="216" spans="1:15" ht="24">
      <c r="A216" s="433" t="s">
        <v>360</v>
      </c>
      <c r="B216" s="305" t="e">
        <f>B4</f>
        <v>#REF!</v>
      </c>
      <c r="C216" s="305" t="e">
        <f>C4</f>
        <v>#REF!</v>
      </c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</row>
    <row r="217" spans="1:15" ht="12.75">
      <c r="A217" s="434" t="s">
        <v>21</v>
      </c>
      <c r="B217" s="373">
        <f>+B218+B219</f>
        <v>0</v>
      </c>
      <c r="C217" s="373">
        <f>+C218+C219</f>
        <v>3305</v>
      </c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</row>
    <row r="218" spans="1:15" ht="12.75">
      <c r="A218" s="434" t="s">
        <v>1</v>
      </c>
      <c r="B218" s="373"/>
      <c r="C218" s="373">
        <v>2136</v>
      </c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</row>
    <row r="219" spans="1:15" ht="12.75">
      <c r="A219" s="434" t="s">
        <v>2</v>
      </c>
      <c r="B219" s="373"/>
      <c r="C219" s="373">
        <v>1169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</row>
    <row r="220" spans="1:15" ht="12.75">
      <c r="A220" s="434" t="s">
        <v>20</v>
      </c>
      <c r="B220" s="373">
        <f>B221+B222</f>
        <v>0</v>
      </c>
      <c r="C220" s="373">
        <f>C221+C222</f>
        <v>7757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</row>
    <row r="221" spans="1:15" ht="12.75">
      <c r="A221" s="434" t="s">
        <v>1</v>
      </c>
      <c r="B221" s="373"/>
      <c r="C221" s="373">
        <v>2325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</row>
    <row r="222" spans="1:15" ht="12.75">
      <c r="A222" s="434" t="s">
        <v>3</v>
      </c>
      <c r="B222" s="373"/>
      <c r="C222" s="373">
        <v>5432</v>
      </c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</row>
    <row r="223" spans="1:15" ht="12.75">
      <c r="A223" s="368" t="s">
        <v>22</v>
      </c>
      <c r="B223" s="368">
        <f>+B217-B220</f>
        <v>0</v>
      </c>
      <c r="C223" s="368">
        <f>+C217-C220</f>
        <v>-4452</v>
      </c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</row>
    <row r="224" spans="4:15" ht="12.75"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</row>
    <row r="225" spans="1:15" ht="16.5">
      <c r="A225" s="383" t="s">
        <v>466</v>
      </c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</row>
    <row r="226" spans="1:15" ht="75.75" customHeight="1">
      <c r="A226" s="624" t="s">
        <v>465</v>
      </c>
      <c r="B226" s="624"/>
      <c r="C226" s="624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</row>
    <row r="227" spans="4:15" ht="12.75"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</row>
    <row r="228" spans="4:15" ht="12.75"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</row>
    <row r="229" spans="1:3" ht="17.25" thickBot="1">
      <c r="A229" s="383" t="s">
        <v>294</v>
      </c>
      <c r="B229" s="307"/>
      <c r="C229" s="307"/>
    </row>
    <row r="230" spans="1:3" ht="15" customHeight="1">
      <c r="A230" s="435" t="s">
        <v>61</v>
      </c>
      <c r="B230" s="302" t="e">
        <f>B4</f>
        <v>#REF!</v>
      </c>
      <c r="C230" s="302" t="e">
        <f>C4</f>
        <v>#REF!</v>
      </c>
    </row>
    <row r="231" spans="1:3" ht="12.75">
      <c r="A231" s="377" t="s">
        <v>62</v>
      </c>
      <c r="B231" s="303">
        <v>0</v>
      </c>
      <c r="C231" s="303">
        <v>0</v>
      </c>
    </row>
    <row r="232" spans="1:3" ht="12.75">
      <c r="A232" s="377" t="s">
        <v>263</v>
      </c>
      <c r="B232" s="308">
        <f>SUM(B233:B235)</f>
        <v>0</v>
      </c>
      <c r="C232" s="308">
        <f>SUM(C233:C235)</f>
        <v>7</v>
      </c>
    </row>
    <row r="233" spans="1:3" ht="12.75" hidden="1">
      <c r="A233" s="386" t="s">
        <v>397</v>
      </c>
      <c r="B233" s="309"/>
      <c r="C233" s="309"/>
    </row>
    <row r="234" spans="1:3" ht="12.75">
      <c r="A234" s="386" t="s">
        <v>893</v>
      </c>
      <c r="B234" s="309"/>
      <c r="C234" s="309">
        <v>7</v>
      </c>
    </row>
    <row r="235" spans="1:3" ht="12.75" hidden="1">
      <c r="A235" s="386" t="s">
        <v>652</v>
      </c>
      <c r="B235" s="310"/>
      <c r="C235" s="310"/>
    </row>
    <row r="236" spans="1:3" ht="13.5" thickBot="1">
      <c r="A236" s="436" t="s">
        <v>63</v>
      </c>
      <c r="B236" s="311">
        <f>B231+B232</f>
        <v>0</v>
      </c>
      <c r="C236" s="311">
        <f>C231+C232</f>
        <v>7</v>
      </c>
    </row>
    <row r="237" spans="1:3" ht="12.75">
      <c r="A237" s="378"/>
      <c r="B237" s="312"/>
      <c r="C237" s="312"/>
    </row>
    <row r="238" spans="1:3" ht="17.25" thickBot="1">
      <c r="A238" s="383" t="s">
        <v>577</v>
      </c>
      <c r="B238" s="307"/>
      <c r="C238" s="307"/>
    </row>
    <row r="239" spans="1:3" ht="15" customHeight="1">
      <c r="A239" s="435" t="s">
        <v>754</v>
      </c>
      <c r="B239" s="302" t="e">
        <f>B4</f>
        <v>#REF!</v>
      </c>
      <c r="C239" s="302" t="e">
        <f>C4</f>
        <v>#REF!</v>
      </c>
    </row>
    <row r="240" spans="1:3" ht="12.75">
      <c r="A240" s="437" t="s">
        <v>62</v>
      </c>
      <c r="B240" s="303">
        <v>0</v>
      </c>
      <c r="C240" s="303">
        <v>0</v>
      </c>
    </row>
    <row r="241" spans="1:3" ht="12.75">
      <c r="A241" s="377" t="s">
        <v>263</v>
      </c>
      <c r="B241" s="308">
        <f>SUM(B242:B244)</f>
        <v>0</v>
      </c>
      <c r="C241" s="308">
        <f>SUM(C242:C244)</f>
        <v>28</v>
      </c>
    </row>
    <row r="242" spans="1:3" ht="12.75">
      <c r="A242" s="386" t="s">
        <v>894</v>
      </c>
      <c r="B242" s="309"/>
      <c r="C242" s="309">
        <v>27</v>
      </c>
    </row>
    <row r="243" spans="1:3" ht="12.75">
      <c r="A243" s="386" t="s">
        <v>191</v>
      </c>
      <c r="B243" s="309"/>
      <c r="C243" s="309">
        <v>0</v>
      </c>
    </row>
    <row r="244" spans="1:3" ht="12.75">
      <c r="A244" s="386" t="s">
        <v>353</v>
      </c>
      <c r="B244" s="309"/>
      <c r="C244" s="309">
        <v>1</v>
      </c>
    </row>
    <row r="245" spans="1:3" ht="13.5" thickBot="1">
      <c r="A245" s="376" t="s">
        <v>542</v>
      </c>
      <c r="B245" s="311">
        <f>B240+B241</f>
        <v>0</v>
      </c>
      <c r="C245" s="311">
        <f>C240+C241</f>
        <v>28</v>
      </c>
    </row>
    <row r="246" spans="1:3" ht="12.75">
      <c r="A246" s="438"/>
      <c r="B246" s="312"/>
      <c r="C246" s="312"/>
    </row>
    <row r="247" spans="1:3" ht="17.25" thickBot="1">
      <c r="A247" s="383" t="s">
        <v>578</v>
      </c>
      <c r="B247" s="313"/>
      <c r="C247" s="313"/>
    </row>
    <row r="248" spans="1:3" ht="15" customHeight="1">
      <c r="A248" s="439" t="s">
        <v>265</v>
      </c>
      <c r="B248" s="302" t="e">
        <f>B4</f>
        <v>#REF!</v>
      </c>
      <c r="C248" s="302" t="e">
        <f>C4</f>
        <v>#REF!</v>
      </c>
    </row>
    <row r="249" spans="1:3" ht="12.75">
      <c r="A249" s="405" t="s">
        <v>741</v>
      </c>
      <c r="B249" s="314"/>
      <c r="C249" s="314">
        <v>264</v>
      </c>
    </row>
    <row r="250" spans="1:3" ht="24">
      <c r="A250" s="428" t="s">
        <v>835</v>
      </c>
      <c r="B250" s="315">
        <f>SUM(B251:B255)</f>
        <v>0</v>
      </c>
      <c r="C250" s="315">
        <f>SUM(C251:C255)</f>
        <v>-6858</v>
      </c>
    </row>
    <row r="251" spans="1:3" ht="24">
      <c r="A251" s="428" t="s">
        <v>888</v>
      </c>
      <c r="B251" s="315"/>
      <c r="C251" s="315">
        <f>-3071-6439</f>
        <v>-9510</v>
      </c>
    </row>
    <row r="252" spans="1:3" ht="12.75">
      <c r="A252" s="428" t="s">
        <v>670</v>
      </c>
      <c r="B252" s="315"/>
      <c r="C252" s="315">
        <f>2038+614</f>
        <v>2652</v>
      </c>
    </row>
    <row r="253" spans="1:3" ht="12.75" hidden="1">
      <c r="A253" s="428" t="s">
        <v>211</v>
      </c>
      <c r="B253" s="315"/>
      <c r="C253" s="315"/>
    </row>
    <row r="254" spans="1:3" ht="12.75" hidden="1">
      <c r="A254" s="428" t="s">
        <v>264</v>
      </c>
      <c r="B254" s="315"/>
      <c r="C254" s="315"/>
    </row>
    <row r="255" spans="1:3" ht="12.75" hidden="1">
      <c r="A255" s="428" t="s">
        <v>264</v>
      </c>
      <c r="B255" s="315"/>
      <c r="C255" s="315"/>
    </row>
    <row r="256" spans="1:3" ht="12.75">
      <c r="A256" s="405" t="s">
        <v>836</v>
      </c>
      <c r="B256" s="314">
        <f>SUM(B249:B250)</f>
        <v>0</v>
      </c>
      <c r="C256" s="314">
        <f>SUM(C249:C250)</f>
        <v>-6594</v>
      </c>
    </row>
    <row r="257" spans="1:3" ht="12.75">
      <c r="A257" s="440" t="s">
        <v>793</v>
      </c>
      <c r="B257" s="316">
        <v>0</v>
      </c>
      <c r="C257" s="316">
        <v>0</v>
      </c>
    </row>
    <row r="258" spans="1:3" ht="12.75" customHeight="1">
      <c r="A258" s="428" t="s">
        <v>795</v>
      </c>
      <c r="B258" s="315"/>
      <c r="C258" s="315">
        <f>4115+334</f>
        <v>4449</v>
      </c>
    </row>
    <row r="259" spans="1:3" ht="24" customHeight="1">
      <c r="A259" s="441" t="s">
        <v>794</v>
      </c>
      <c r="B259" s="317">
        <f>B257+B258</f>
        <v>0</v>
      </c>
      <c r="C259" s="317">
        <f>C257+C258</f>
        <v>4449</v>
      </c>
    </row>
    <row r="260" spans="1:3" ht="12.75">
      <c r="A260" s="441" t="s">
        <v>235</v>
      </c>
      <c r="B260" s="317"/>
      <c r="C260" s="317">
        <v>4449</v>
      </c>
    </row>
    <row r="261" spans="1:3" ht="15" customHeight="1" hidden="1">
      <c r="A261" s="428" t="s">
        <v>236</v>
      </c>
      <c r="B261" s="315"/>
      <c r="C261" s="315"/>
    </row>
    <row r="262" spans="1:3" ht="26.25" customHeight="1" hidden="1" thickBot="1">
      <c r="A262" s="442" t="s">
        <v>221</v>
      </c>
      <c r="B262" s="318"/>
      <c r="C262" s="318"/>
    </row>
    <row r="263" spans="1:3" ht="12.75">
      <c r="A263" s="438"/>
      <c r="B263" s="319"/>
      <c r="C263" s="319"/>
    </row>
    <row r="264" spans="1:3" ht="17.25" thickBot="1">
      <c r="A264" s="383" t="s">
        <v>579</v>
      </c>
      <c r="B264" s="313"/>
      <c r="C264" s="313"/>
    </row>
    <row r="265" spans="1:3" ht="27.75" customHeight="1">
      <c r="A265" s="439" t="s">
        <v>387</v>
      </c>
      <c r="B265" s="302" t="e">
        <f>B4</f>
        <v>#REF!</v>
      </c>
      <c r="C265" s="302" t="e">
        <f>C4</f>
        <v>#REF!</v>
      </c>
    </row>
    <row r="266" spans="1:3" ht="21.75" customHeight="1">
      <c r="A266" s="428" t="s">
        <v>472</v>
      </c>
      <c r="B266" s="315"/>
      <c r="C266" s="315">
        <f>2005-4262-7000</f>
        <v>-9257</v>
      </c>
    </row>
    <row r="267" spans="1:3" ht="18.75" customHeight="1">
      <c r="A267" s="428" t="s">
        <v>388</v>
      </c>
      <c r="B267" s="315"/>
      <c r="C267" s="315">
        <v>4262</v>
      </c>
    </row>
    <row r="268" spans="1:3" ht="38.25" customHeight="1" hidden="1">
      <c r="A268" s="428" t="s">
        <v>39</v>
      </c>
      <c r="B268" s="315"/>
      <c r="C268" s="315"/>
    </row>
    <row r="269" spans="1:3" ht="36.75" customHeight="1" hidden="1">
      <c r="A269" s="428" t="s">
        <v>40</v>
      </c>
      <c r="B269" s="315"/>
      <c r="C269" s="315"/>
    </row>
    <row r="270" spans="1:3" ht="12.75" hidden="1">
      <c r="A270" s="428" t="s">
        <v>742</v>
      </c>
      <c r="B270" s="315">
        <f>SUM(B271:B276)</f>
        <v>0</v>
      </c>
      <c r="C270" s="315">
        <f>SUM(C271:C276)</f>
        <v>0</v>
      </c>
    </row>
    <row r="271" spans="1:3" ht="12.75" hidden="1">
      <c r="A271" s="417" t="s">
        <v>380</v>
      </c>
      <c r="B271" s="320"/>
      <c r="C271" s="320"/>
    </row>
    <row r="272" spans="1:3" ht="12.75" customHeight="1" hidden="1">
      <c r="A272" s="417" t="s">
        <v>380</v>
      </c>
      <c r="B272" s="320"/>
      <c r="C272" s="320"/>
    </row>
    <row r="273" spans="1:3" ht="12.75" hidden="1">
      <c r="A273" s="428" t="s">
        <v>176</v>
      </c>
      <c r="B273" s="320"/>
      <c r="C273" s="320"/>
    </row>
    <row r="274" spans="1:3" ht="12.75" hidden="1">
      <c r="A274" s="428" t="s">
        <v>176</v>
      </c>
      <c r="B274" s="320"/>
      <c r="C274" s="320"/>
    </row>
    <row r="275" spans="1:3" ht="12.75" hidden="1">
      <c r="A275" s="428" t="s">
        <v>176</v>
      </c>
      <c r="B275" s="321"/>
      <c r="C275" s="321"/>
    </row>
    <row r="276" spans="1:3" ht="12.75" hidden="1">
      <c r="A276" s="428" t="s">
        <v>176</v>
      </c>
      <c r="B276" s="321"/>
      <c r="C276" s="321"/>
    </row>
    <row r="277" spans="1:3" s="349" customFormat="1" ht="13.5" thickBot="1">
      <c r="A277" s="436" t="s">
        <v>41</v>
      </c>
      <c r="B277" s="459">
        <f>SUM(B266:B270)</f>
        <v>0</v>
      </c>
      <c r="C277" s="459">
        <f>SUM(C266:C270)</f>
        <v>-4995</v>
      </c>
    </row>
    <row r="278" spans="1:3" ht="12.75">
      <c r="A278" s="306"/>
      <c r="B278" s="306"/>
      <c r="C278" s="306"/>
    </row>
    <row r="279" spans="1:3" ht="17.25" thickBot="1">
      <c r="A279" s="444" t="s">
        <v>580</v>
      </c>
      <c r="B279" s="306"/>
      <c r="C279" s="306"/>
    </row>
    <row r="280" spans="1:3" ht="15" customHeight="1">
      <c r="A280" s="445" t="s">
        <v>933</v>
      </c>
      <c r="B280" s="302" t="e">
        <f>B4</f>
        <v>#REF!</v>
      </c>
      <c r="C280" s="302" t="e">
        <f>C4</f>
        <v>#REF!</v>
      </c>
    </row>
    <row r="281" spans="1:3" ht="12.75">
      <c r="A281" s="386" t="s">
        <v>889</v>
      </c>
      <c r="B281" s="322">
        <v>0</v>
      </c>
      <c r="C281" s="322">
        <v>0</v>
      </c>
    </row>
    <row r="282" spans="1:3" ht="32.25" customHeight="1" thickBot="1">
      <c r="A282" s="446" t="s">
        <v>167</v>
      </c>
      <c r="B282" s="323">
        <v>0</v>
      </c>
      <c r="C282" s="323">
        <v>0</v>
      </c>
    </row>
    <row r="283" spans="1:3" ht="12.75">
      <c r="A283" s="447"/>
      <c r="B283" s="306"/>
      <c r="C283" s="306"/>
    </row>
    <row r="284" spans="1:3" ht="17.25" thickBot="1">
      <c r="A284" s="444" t="s">
        <v>581</v>
      </c>
      <c r="B284" s="306"/>
      <c r="C284" s="306"/>
    </row>
    <row r="285" spans="1:3" ht="33.75" customHeight="1">
      <c r="A285" s="445" t="s">
        <v>934</v>
      </c>
      <c r="B285" s="302" t="e">
        <f>B4</f>
        <v>#REF!</v>
      </c>
      <c r="C285" s="302" t="e">
        <f>C4</f>
        <v>#REF!</v>
      </c>
    </row>
    <row r="286" spans="1:3" ht="12.75" hidden="1">
      <c r="A286" s="386" t="s">
        <v>935</v>
      </c>
      <c r="B286" s="322">
        <v>0</v>
      </c>
      <c r="C286" s="322">
        <v>0</v>
      </c>
    </row>
    <row r="287" spans="1:3" ht="13.5" thickBot="1">
      <c r="A287" s="446" t="s">
        <v>645</v>
      </c>
      <c r="B287" s="323"/>
      <c r="C287" s="323">
        <v>-6</v>
      </c>
    </row>
    <row r="288" spans="1:3" ht="12.75">
      <c r="A288" s="443"/>
      <c r="B288" s="306"/>
      <c r="C288" s="306"/>
    </row>
    <row r="289" spans="1:3" ht="13.5" thickBot="1">
      <c r="A289" s="448"/>
      <c r="B289" s="306"/>
      <c r="C289" s="306"/>
    </row>
    <row r="290" spans="1:3" ht="32.25" customHeight="1">
      <c r="A290" s="388" t="s">
        <v>56</v>
      </c>
      <c r="B290" s="302" t="e">
        <f>B4</f>
        <v>#REF!</v>
      </c>
      <c r="C290" s="302" t="e">
        <f>C4</f>
        <v>#REF!</v>
      </c>
    </row>
    <row r="291" spans="1:3" ht="12.75">
      <c r="A291" s="449" t="s">
        <v>57</v>
      </c>
      <c r="B291" s="324">
        <f>+B292-B295</f>
        <v>0</v>
      </c>
      <c r="C291" s="324">
        <f>+C292-C295</f>
        <v>-9510</v>
      </c>
    </row>
    <row r="292" spans="1:3" ht="12.75">
      <c r="A292" s="449" t="s">
        <v>452</v>
      </c>
      <c r="B292" s="324">
        <f>+B293+B294+B302</f>
        <v>0</v>
      </c>
      <c r="C292" s="324">
        <f>+C293+C294+C302</f>
        <v>-12874</v>
      </c>
    </row>
    <row r="293" spans="1:3" ht="12.75">
      <c r="A293" s="386" t="s">
        <v>537</v>
      </c>
      <c r="B293" s="325"/>
      <c r="C293" s="325">
        <v>-6435</v>
      </c>
    </row>
    <row r="294" spans="1:3" ht="12.75">
      <c r="A294" s="386" t="s">
        <v>538</v>
      </c>
      <c r="B294" s="325">
        <v>0</v>
      </c>
      <c r="C294" s="325">
        <v>0</v>
      </c>
    </row>
    <row r="295" spans="1:3" ht="12.75">
      <c r="A295" s="449" t="s">
        <v>453</v>
      </c>
      <c r="B295" s="324">
        <f>SUM(B296:B301)</f>
        <v>0</v>
      </c>
      <c r="C295" s="324">
        <f>SUM(C296:C301)</f>
        <v>-3364</v>
      </c>
    </row>
    <row r="296" spans="1:3" ht="12.75">
      <c r="A296" s="386" t="s">
        <v>142</v>
      </c>
      <c r="B296" s="325"/>
      <c r="C296" s="325">
        <v>-105</v>
      </c>
    </row>
    <row r="297" spans="1:3" ht="12.75" hidden="1">
      <c r="A297" s="386" t="s">
        <v>143</v>
      </c>
      <c r="B297" s="325"/>
      <c r="C297" s="325"/>
    </row>
    <row r="298" spans="1:3" ht="12.75">
      <c r="A298" s="386" t="s">
        <v>147</v>
      </c>
      <c r="B298" s="325"/>
      <c r="C298" s="325">
        <v>-2009</v>
      </c>
    </row>
    <row r="299" spans="1:3" ht="12.75">
      <c r="A299" s="386" t="s">
        <v>712</v>
      </c>
      <c r="B299" s="325"/>
      <c r="C299" s="325">
        <v>-469</v>
      </c>
    </row>
    <row r="300" spans="1:3" ht="12.75">
      <c r="A300" s="386" t="s">
        <v>713</v>
      </c>
      <c r="B300" s="325"/>
      <c r="C300" s="325">
        <v>-627</v>
      </c>
    </row>
    <row r="301" spans="1:3" ht="12.75">
      <c r="A301" s="386" t="s">
        <v>138</v>
      </c>
      <c r="B301" s="325"/>
      <c r="C301" s="325">
        <v>-154</v>
      </c>
    </row>
    <row r="302" spans="1:3" ht="24">
      <c r="A302" s="386" t="s">
        <v>936</v>
      </c>
      <c r="B302" s="325"/>
      <c r="C302" s="325">
        <v>-6439</v>
      </c>
    </row>
    <row r="303" spans="1:3" ht="12.75">
      <c r="A303" s="449" t="s">
        <v>807</v>
      </c>
      <c r="B303" s="324">
        <f>+B304-B309</f>
        <v>0</v>
      </c>
      <c r="C303" s="324">
        <f>+C304-C309</f>
        <v>2652</v>
      </c>
    </row>
    <row r="304" spans="1:3" ht="12.75">
      <c r="A304" s="449" t="s">
        <v>452</v>
      </c>
      <c r="B304" s="324">
        <f>SUM(B305:B308)</f>
        <v>0</v>
      </c>
      <c r="C304" s="324">
        <f>SUM(C305:C308)</f>
        <v>-2646</v>
      </c>
    </row>
    <row r="305" spans="1:3" ht="12.75">
      <c r="A305" s="386" t="s">
        <v>168</v>
      </c>
      <c r="B305" s="325"/>
      <c r="C305" s="325">
        <v>-1169</v>
      </c>
    </row>
    <row r="306" spans="1:3" ht="12.75">
      <c r="A306" s="386" t="s">
        <v>116</v>
      </c>
      <c r="B306" s="325"/>
      <c r="C306" s="325">
        <v>-4292</v>
      </c>
    </row>
    <row r="307" spans="1:3" ht="12.75">
      <c r="A307" s="386" t="s">
        <v>117</v>
      </c>
      <c r="B307" s="325"/>
      <c r="C307" s="325">
        <v>1161</v>
      </c>
    </row>
    <row r="308" spans="1:3" ht="12.75">
      <c r="A308" s="386" t="s">
        <v>118</v>
      </c>
      <c r="B308" s="325"/>
      <c r="C308" s="325">
        <v>1654</v>
      </c>
    </row>
    <row r="309" spans="1:3" ht="12.75">
      <c r="A309" s="449" t="s">
        <v>458</v>
      </c>
      <c r="B309" s="324">
        <f>SUM(B310:B319)</f>
        <v>0</v>
      </c>
      <c r="C309" s="324">
        <f>SUM(C310:C319)</f>
        <v>-5298</v>
      </c>
    </row>
    <row r="310" spans="1:3" ht="12.75">
      <c r="A310" s="386" t="s">
        <v>808</v>
      </c>
      <c r="B310" s="325"/>
      <c r="C310" s="325">
        <v>-6250</v>
      </c>
    </row>
    <row r="311" spans="1:3" ht="12.75">
      <c r="A311" s="386" t="s">
        <v>456</v>
      </c>
      <c r="B311" s="325"/>
      <c r="C311" s="325">
        <v>1631</v>
      </c>
    </row>
    <row r="312" spans="1:3" ht="12.75">
      <c r="A312" s="386" t="s">
        <v>455</v>
      </c>
      <c r="B312" s="325"/>
      <c r="C312" s="325">
        <v>-2263</v>
      </c>
    </row>
    <row r="313" spans="1:3" ht="12.75">
      <c r="A313" s="386" t="s">
        <v>809</v>
      </c>
      <c r="B313" s="325"/>
      <c r="C313" s="325">
        <v>-538</v>
      </c>
    </row>
    <row r="314" spans="1:3" ht="12.75">
      <c r="A314" s="386" t="s">
        <v>516</v>
      </c>
      <c r="B314" s="325"/>
      <c r="C314" s="325">
        <v>-5432</v>
      </c>
    </row>
    <row r="315" spans="1:3" ht="26.25" customHeight="1">
      <c r="A315" s="386" t="s">
        <v>517</v>
      </c>
      <c r="B315" s="325"/>
      <c r="C315" s="325">
        <v>-219</v>
      </c>
    </row>
    <row r="316" spans="1:3" ht="12.75">
      <c r="A316" s="386" t="s">
        <v>457</v>
      </c>
      <c r="B316" s="325"/>
      <c r="C316" s="325">
        <v>1904</v>
      </c>
    </row>
    <row r="317" spans="1:3" ht="12.75">
      <c r="A317" s="386" t="s">
        <v>454</v>
      </c>
      <c r="B317" s="325"/>
      <c r="C317" s="325">
        <v>7889</v>
      </c>
    </row>
    <row r="318" spans="1:3" ht="12.75">
      <c r="A318" s="386" t="s">
        <v>518</v>
      </c>
      <c r="B318" s="325"/>
      <c r="C318" s="325">
        <v>-1194</v>
      </c>
    </row>
    <row r="319" spans="1:3" ht="12.75">
      <c r="A319" s="431" t="s">
        <v>652</v>
      </c>
      <c r="B319" s="326"/>
      <c r="C319" s="326">
        <f>-212-614</f>
        <v>-826</v>
      </c>
    </row>
    <row r="320" spans="1:3" ht="12.75">
      <c r="A320" s="450" t="s">
        <v>459</v>
      </c>
      <c r="B320" s="327">
        <f>+B291+B303</f>
        <v>0</v>
      </c>
      <c r="C320" s="327">
        <f>+C291+C303</f>
        <v>-6858</v>
      </c>
    </row>
    <row r="321" spans="1:3" ht="12.75" hidden="1">
      <c r="A321" s="451" t="s">
        <v>176</v>
      </c>
      <c r="B321" s="328"/>
      <c r="C321" s="329"/>
    </row>
    <row r="322" spans="1:3" ht="12.75" hidden="1">
      <c r="A322" s="451" t="s">
        <v>176</v>
      </c>
      <c r="B322" s="328"/>
      <c r="C322" s="329"/>
    </row>
    <row r="323" spans="1:3" ht="12.75" customHeight="1" hidden="1" thickBot="1">
      <c r="A323" s="452"/>
      <c r="B323" s="330"/>
      <c r="C323" s="323"/>
    </row>
    <row r="324" spans="1:3" ht="12.75" hidden="1">
      <c r="A324" s="453"/>
      <c r="B324" s="331" t="str">
        <f>IF(B291=B251,"OK.","BŁĄD")</f>
        <v>OK.</v>
      </c>
      <c r="C324" s="331" t="str">
        <f>IF(C291=C251,"OK.","BŁĄD")</f>
        <v>OK.</v>
      </c>
    </row>
    <row r="325" spans="1:3" ht="12.75" hidden="1">
      <c r="A325" s="453"/>
      <c r="B325" s="331" t="str">
        <f>IF(B303=B252,"OK.","BŁĄD")</f>
        <v>OK.</v>
      </c>
      <c r="C325" s="331" t="str">
        <f>IF(C303=C252,"OK.","BŁĄD")</f>
        <v>OK.</v>
      </c>
    </row>
    <row r="326" spans="1:3" ht="12.75" hidden="1">
      <c r="A326" s="453"/>
      <c r="B326" s="331" t="str">
        <f>IF(B320=B250,"OK.","BŁĄD")</f>
        <v>OK.</v>
      </c>
      <c r="C326" s="331" t="str">
        <f>IF(C320=C250,"OK.","BŁĄD")</f>
        <v>OK.</v>
      </c>
    </row>
    <row r="327" spans="1:3" ht="12.75">
      <c r="A327" s="447"/>
      <c r="B327" s="332"/>
      <c r="C327" s="306"/>
    </row>
    <row r="328" spans="1:3" ht="12.75" hidden="1">
      <c r="A328" s="454" t="s">
        <v>848</v>
      </c>
      <c r="B328" s="333">
        <f>SUM(B329:B333)</f>
        <v>18506</v>
      </c>
      <c r="C328" s="333">
        <f>SUM(C329:C333)</f>
        <v>24662</v>
      </c>
    </row>
    <row r="329" spans="1:3" ht="12.75" hidden="1">
      <c r="A329" s="386" t="s">
        <v>849</v>
      </c>
      <c r="B329" s="334">
        <v>1714</v>
      </c>
      <c r="C329" s="334">
        <v>1715</v>
      </c>
    </row>
    <row r="330" spans="1:3" ht="12.75" hidden="1">
      <c r="A330" s="386" t="s">
        <v>850</v>
      </c>
      <c r="B330" s="334">
        <v>777</v>
      </c>
      <c r="C330" s="334">
        <v>1299</v>
      </c>
    </row>
    <row r="331" spans="1:3" ht="12.75" hidden="1">
      <c r="A331" s="431" t="s">
        <v>460</v>
      </c>
      <c r="B331" s="334">
        <f>23015-7000</f>
        <v>16015</v>
      </c>
      <c r="C331" s="334">
        <v>20563</v>
      </c>
    </row>
    <row r="332" spans="1:3" ht="12.75" hidden="1">
      <c r="A332" s="431" t="s">
        <v>293</v>
      </c>
      <c r="B332" s="334"/>
      <c r="C332" s="334"/>
    </row>
    <row r="333" spans="1:3" ht="12.75" hidden="1">
      <c r="A333" s="431" t="s">
        <v>937</v>
      </c>
      <c r="B333" s="335"/>
      <c r="C333" s="335">
        <v>1085</v>
      </c>
    </row>
    <row r="334" spans="1:3" ht="12.75" customHeight="1" hidden="1">
      <c r="A334" s="449" t="s">
        <v>509</v>
      </c>
      <c r="B334" s="336">
        <f>SUM(B335:B343)</f>
        <v>6283</v>
      </c>
      <c r="C334" s="336">
        <f>SUM(C335:C343)</f>
        <v>7444</v>
      </c>
    </row>
    <row r="335" spans="1:3" ht="12.75" hidden="1">
      <c r="A335" s="431" t="s">
        <v>292</v>
      </c>
      <c r="B335" s="335">
        <v>446</v>
      </c>
      <c r="C335" s="335"/>
    </row>
    <row r="336" spans="1:3" ht="12.75" hidden="1">
      <c r="A336" s="431" t="s">
        <v>882</v>
      </c>
      <c r="B336" s="335"/>
      <c r="C336" s="335">
        <v>519</v>
      </c>
    </row>
    <row r="337" spans="1:3" ht="12.75" customHeight="1" hidden="1">
      <c r="A337" s="431" t="s">
        <v>883</v>
      </c>
      <c r="B337" s="335"/>
      <c r="C337" s="335"/>
    </row>
    <row r="338" spans="1:3" ht="12.75" hidden="1">
      <c r="A338" s="431" t="s">
        <v>101</v>
      </c>
      <c r="B338" s="335">
        <v>4070</v>
      </c>
      <c r="C338" s="335">
        <v>2849</v>
      </c>
    </row>
    <row r="339" spans="1:3" ht="12.75" hidden="1">
      <c r="A339" s="431" t="s">
        <v>518</v>
      </c>
      <c r="B339" s="337">
        <v>657</v>
      </c>
      <c r="C339" s="337">
        <v>318</v>
      </c>
    </row>
    <row r="340" spans="1:3" ht="12.75" hidden="1">
      <c r="A340" s="431" t="s">
        <v>673</v>
      </c>
      <c r="B340" s="337"/>
      <c r="C340" s="337">
        <v>2214</v>
      </c>
    </row>
    <row r="341" spans="1:3" ht="12.75" hidden="1">
      <c r="A341" s="386" t="s">
        <v>674</v>
      </c>
      <c r="B341" s="337">
        <f>269+611+156</f>
        <v>1036</v>
      </c>
      <c r="C341" s="337"/>
    </row>
    <row r="342" spans="1:3" ht="12.75" hidden="1">
      <c r="A342" s="386" t="s">
        <v>675</v>
      </c>
      <c r="B342" s="337">
        <v>74</v>
      </c>
      <c r="C342" s="337">
        <v>815</v>
      </c>
    </row>
    <row r="343" spans="1:3" ht="12.75" hidden="1">
      <c r="A343" s="455" t="s">
        <v>652</v>
      </c>
      <c r="B343" s="337"/>
      <c r="C343" s="337">
        <f>498+231</f>
        <v>729</v>
      </c>
    </row>
    <row r="344" spans="1:3" ht="13.5" hidden="1" thickBot="1">
      <c r="A344" s="382" t="s">
        <v>676</v>
      </c>
      <c r="B344" s="338">
        <f>B334-B328</f>
        <v>-12223</v>
      </c>
      <c r="C344" s="338">
        <f>C334-C328</f>
        <v>-17218</v>
      </c>
    </row>
    <row r="345" spans="1:3" ht="17.25" thickBot="1">
      <c r="A345" s="383" t="s">
        <v>470</v>
      </c>
      <c r="B345" s="313"/>
      <c r="C345" s="313"/>
    </row>
    <row r="346" spans="1:3" ht="29.25" customHeight="1">
      <c r="A346" s="439" t="s">
        <v>261</v>
      </c>
      <c r="B346" s="302" t="e">
        <f>B4</f>
        <v>#REF!</v>
      </c>
      <c r="C346" s="302" t="e">
        <f>C4</f>
        <v>#REF!</v>
      </c>
    </row>
    <row r="347" spans="1:3" ht="12.75" hidden="1">
      <c r="A347" s="428" t="s">
        <v>264</v>
      </c>
      <c r="B347" s="315"/>
      <c r="C347" s="315"/>
    </row>
    <row r="348" spans="1:3" ht="12.75" hidden="1">
      <c r="A348" s="428" t="s">
        <v>264</v>
      </c>
      <c r="B348" s="315"/>
      <c r="C348" s="315"/>
    </row>
    <row r="349" spans="1:3" ht="25.5" customHeight="1" thickBot="1">
      <c r="A349" s="436" t="s">
        <v>262</v>
      </c>
      <c r="B349" s="339">
        <f>SUM(B347:B348)</f>
        <v>0</v>
      </c>
      <c r="C349" s="339">
        <f>SUM(C347:C348)</f>
        <v>0</v>
      </c>
    </row>
    <row r="350" spans="1:3" ht="12.75">
      <c r="A350" s="378"/>
      <c r="B350" s="340"/>
      <c r="C350" s="340"/>
    </row>
    <row r="351" ht="3.75" customHeight="1"/>
    <row r="352" spans="1:3" ht="17.25" thickBot="1">
      <c r="A352" s="383" t="s">
        <v>471</v>
      </c>
      <c r="B352" s="342"/>
      <c r="C352" s="313"/>
    </row>
    <row r="353" spans="1:3" ht="40.5" customHeight="1">
      <c r="A353" s="427" t="s">
        <v>513</v>
      </c>
      <c r="B353" s="302" t="e">
        <f>B4</f>
        <v>#REF!</v>
      </c>
      <c r="C353" s="302" t="e">
        <f>C4</f>
        <v>#REF!</v>
      </c>
    </row>
    <row r="354" spans="1:3" ht="28.5" customHeight="1">
      <c r="A354" s="456" t="s">
        <v>758</v>
      </c>
      <c r="B354" s="343">
        <f>SUM(B355:B357)</f>
        <v>0</v>
      </c>
      <c r="C354" s="343">
        <f>SUM(C355:C357)</f>
        <v>0</v>
      </c>
    </row>
    <row r="355" spans="1:3" ht="12.75" hidden="1">
      <c r="A355" s="457" t="s">
        <v>304</v>
      </c>
      <c r="B355" s="344"/>
      <c r="C355" s="344"/>
    </row>
    <row r="356" spans="1:3" ht="12.75" hidden="1">
      <c r="A356" s="457" t="s">
        <v>305</v>
      </c>
      <c r="B356" s="344"/>
      <c r="C356" s="344"/>
    </row>
    <row r="357" spans="1:3" ht="13.5" hidden="1" thickBot="1">
      <c r="A357" s="458" t="s">
        <v>306</v>
      </c>
      <c r="B357" s="345"/>
      <c r="C357" s="345"/>
    </row>
    <row r="358" spans="4:15" ht="12.75">
      <c r="D358" s="426"/>
      <c r="E358" s="426"/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</row>
    <row r="359" spans="4:15" ht="12.75"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</row>
    <row r="360" spans="4:15" ht="12.75"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</row>
    <row r="361" spans="1:15" ht="16.5">
      <c r="A361" s="383" t="s">
        <v>738</v>
      </c>
      <c r="D361" s="426"/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</row>
    <row r="362" spans="4:15" ht="12.75">
      <c r="D362" s="426"/>
      <c r="E362" s="426"/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</row>
    <row r="363" spans="4:15" ht="12.75"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</row>
    <row r="364" spans="4:15" ht="12.75"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</row>
    <row r="365" spans="4:15" ht="12.75">
      <c r="D365" s="426"/>
      <c r="E365" s="426"/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</row>
    <row r="366" spans="4:15" ht="12.75"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</row>
    <row r="367" spans="4:15" ht="12.75">
      <c r="D367" s="426"/>
      <c r="E367" s="426"/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</row>
    <row r="368" spans="4:15" ht="12.75"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</row>
    <row r="369" spans="4:15" ht="12.75"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</row>
    <row r="370" spans="4:15" ht="12.75">
      <c r="D370" s="426"/>
      <c r="E370" s="426"/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</row>
    <row r="371" spans="4:15" ht="12.75"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</row>
    <row r="372" spans="1:3" s="352" customFormat="1" ht="17.25" thickBot="1">
      <c r="A372" s="353" t="s">
        <v>739</v>
      </c>
      <c r="B372" s="551"/>
      <c r="C372" s="551"/>
    </row>
    <row r="373" spans="1:3" s="54" customFormat="1" ht="12.75" customHeight="1">
      <c r="A373" s="546" t="s">
        <v>114</v>
      </c>
      <c r="B373" s="548"/>
      <c r="C373" s="548">
        <v>810</v>
      </c>
    </row>
    <row r="374" spans="1:3" s="54" customFormat="1" ht="12.75" customHeight="1">
      <c r="A374" s="547" t="s">
        <v>115</v>
      </c>
      <c r="B374" s="549">
        <v>25530098</v>
      </c>
      <c r="C374" s="549">
        <v>25530098</v>
      </c>
    </row>
    <row r="375" spans="1:3" s="54" customFormat="1" ht="24.75" thickBot="1">
      <c r="A375" s="552" t="s">
        <v>425</v>
      </c>
      <c r="B375" s="553"/>
      <c r="C375" s="553">
        <v>0.031727257764541286</v>
      </c>
    </row>
    <row r="376" spans="4:15" ht="12.75">
      <c r="D376" s="426"/>
      <c r="E376" s="426"/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</row>
    <row r="377" spans="4:15" ht="12.75">
      <c r="D377" s="426"/>
      <c r="E377" s="426"/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</row>
    <row r="378" spans="4:15" ht="12.75">
      <c r="D378" s="426"/>
      <c r="E378" s="426"/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</row>
    <row r="379" spans="4:15" ht="12.75"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</row>
    <row r="380" spans="4:15" ht="12.75"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</row>
    <row r="381" spans="4:15" ht="12.75">
      <c r="D381" s="426"/>
      <c r="E381" s="426"/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</row>
    <row r="382" spans="4:15" ht="12.75">
      <c r="D382" s="426"/>
      <c r="E382" s="426"/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</row>
    <row r="383" spans="4:15" ht="12.75">
      <c r="D383" s="426"/>
      <c r="E383" s="426"/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</row>
    <row r="384" spans="4:15" ht="12.75">
      <c r="D384" s="426"/>
      <c r="E384" s="426"/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</row>
    <row r="385" spans="4:15" ht="12.75"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</row>
    <row r="386" spans="4:15" ht="12.75">
      <c r="D386" s="426"/>
      <c r="E386" s="426"/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</row>
    <row r="387" spans="1:2" ht="12.75">
      <c r="A387" s="378"/>
      <c r="B387" s="312"/>
    </row>
  </sheetData>
  <sheetProtection/>
  <mergeCells count="1">
    <mergeCell ref="A226:C226"/>
  </mergeCells>
  <printOptions/>
  <pageMargins left="0.75" right="0.62" top="0.76" bottom="0.5" header="0.5" footer="0.5"/>
  <pageSetup blackAndWhite="1" horizontalDpi="300" verticalDpi="300" orientation="portrait" paperSize="9" r:id="rId2"/>
  <headerFooter alignWithMargins="0">
    <oddHeader>&amp;LBUDIMEX S.A.&amp;CSA-R 2002&amp;Rw tys. zł</oddHeader>
    <oddFooter>&amp;C&amp;7Komisja Papierów Wartościowych i Giełd&amp;10
&amp;R&amp;7&amp;P+60</oddFooter>
  </headerFooter>
  <rowBreaks count="6" manualBreakCount="6">
    <brk id="55" max="2" man="1"/>
    <brk id="101" max="2" man="1"/>
    <brk id="174" max="2" man="1"/>
    <brk id="237" max="2" man="1"/>
    <brk id="283" max="2" man="1"/>
    <brk id="358" max="2" man="1"/>
  </rowBreaks>
  <colBreaks count="1" manualBreakCount="1">
    <brk id="13" max="35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1"/>
  <sheetViews>
    <sheetView view="pageBreakPreview" zoomScaleSheetLayoutView="100" zoomScalePageLayoutView="0" workbookViewId="0" topLeftCell="A4">
      <selection activeCell="B399" sqref="B399"/>
    </sheetView>
  </sheetViews>
  <sheetFormatPr defaultColWidth="7.875" defaultRowHeight="12.75"/>
  <cols>
    <col min="1" max="1" width="60.125" style="352" customWidth="1"/>
    <col min="2" max="2" width="15.125" style="341" customWidth="1"/>
    <col min="3" max="3" width="15.875" style="341" customWidth="1"/>
    <col min="4" max="16384" width="7.875" style="352" customWidth="1"/>
  </cols>
  <sheetData>
    <row r="1" spans="1:3" ht="12.75" hidden="1">
      <c r="A1" s="354" t="s">
        <v>304</v>
      </c>
      <c r="B1" s="344"/>
      <c r="C1" s="344"/>
    </row>
    <row r="2" spans="1:3" ht="12.75" hidden="1">
      <c r="A2" s="354" t="s">
        <v>305</v>
      </c>
      <c r="B2" s="344"/>
      <c r="C2" s="344"/>
    </row>
    <row r="3" spans="1:3" ht="13.5" hidden="1" thickBot="1">
      <c r="A3" s="355" t="s">
        <v>306</v>
      </c>
      <c r="B3" s="345"/>
      <c r="C3" s="345"/>
    </row>
    <row r="4" spans="1:3" ht="16.5">
      <c r="A4" s="389" t="s">
        <v>217</v>
      </c>
      <c r="B4" s="306"/>
      <c r="C4" s="306"/>
    </row>
    <row r="5" spans="1:3" ht="12.75">
      <c r="A5" s="351"/>
      <c r="B5" s="306"/>
      <c r="C5" s="306"/>
    </row>
    <row r="6" spans="1:2" ht="13.5" thickBot="1">
      <c r="A6" s="351"/>
      <c r="B6" s="306"/>
    </row>
    <row r="7" spans="1:3" ht="15" customHeight="1">
      <c r="A7" s="288" t="s">
        <v>677</v>
      </c>
      <c r="B7" s="302" t="e">
        <f>#REF!</f>
        <v>#REF!</v>
      </c>
      <c r="C7" s="302" t="e">
        <f>#REF!</f>
        <v>#REF!</v>
      </c>
    </row>
    <row r="8" spans="1:3" ht="12.75">
      <c r="A8" s="137" t="s">
        <v>678</v>
      </c>
      <c r="B8" s="346"/>
      <c r="C8" s="346">
        <f>48+651</f>
        <v>699</v>
      </c>
    </row>
    <row r="9" spans="1:3" ht="12.75">
      <c r="A9" s="137" t="s">
        <v>679</v>
      </c>
      <c r="B9" s="346">
        <f>SUM(B10:B13)</f>
        <v>0</v>
      </c>
      <c r="C9" s="346">
        <f>SUM(C10:C13)</f>
        <v>33751</v>
      </c>
    </row>
    <row r="10" spans="1:3" ht="12.75">
      <c r="A10" s="556" t="s">
        <v>119</v>
      </c>
      <c r="B10" s="322"/>
      <c r="C10" s="322">
        <f>33466-C11-C12-C13+285</f>
        <v>10184</v>
      </c>
    </row>
    <row r="11" spans="1:3" ht="12.75">
      <c r="A11" s="138" t="s">
        <v>689</v>
      </c>
      <c r="B11" s="322"/>
      <c r="C11" s="322">
        <v>11114</v>
      </c>
    </row>
    <row r="12" spans="1:3" ht="12.75">
      <c r="A12" s="138" t="s">
        <v>796</v>
      </c>
      <c r="B12" s="322"/>
      <c r="C12" s="322">
        <v>8402</v>
      </c>
    </row>
    <row r="13" spans="1:3" ht="12.75">
      <c r="A13" s="139" t="s">
        <v>797</v>
      </c>
      <c r="B13" s="322"/>
      <c r="C13" s="322">
        <v>4051</v>
      </c>
    </row>
    <row r="14" spans="1:3" ht="12.75">
      <c r="A14" s="137" t="s">
        <v>690</v>
      </c>
      <c r="B14" s="346">
        <v>0</v>
      </c>
      <c r="C14" s="346">
        <v>0</v>
      </c>
    </row>
    <row r="15" spans="1:3" ht="13.5" thickBot="1">
      <c r="A15" s="140" t="s">
        <v>691</v>
      </c>
      <c r="B15" s="347">
        <f>B8+B9+B14</f>
        <v>0</v>
      </c>
      <c r="C15" s="347">
        <f>C8+C9+C14</f>
        <v>34450</v>
      </c>
    </row>
    <row r="16" spans="1:3" ht="12.75" hidden="1">
      <c r="A16" s="57"/>
      <c r="B16" s="348" t="e">
        <f>IF(B15=#REF!,"OK.","BŁĄD")</f>
        <v>#REF!</v>
      </c>
      <c r="C16" s="348" t="e">
        <f>IF(C15=#REF!,"OK.","BŁĄD")</f>
        <v>#REF!</v>
      </c>
    </row>
    <row r="17" spans="1:3" ht="12.75">
      <c r="A17" s="57"/>
      <c r="B17" s="348"/>
      <c r="C17" s="348"/>
    </row>
    <row r="18" spans="1:2" ht="13.5" thickBot="1">
      <c r="A18" s="57"/>
      <c r="B18" s="306"/>
    </row>
    <row r="19" spans="1:3" ht="15" customHeight="1">
      <c r="A19" s="288" t="s">
        <v>692</v>
      </c>
      <c r="B19" s="302" t="e">
        <f>#REF!</f>
        <v>#REF!</v>
      </c>
      <c r="C19" s="302" t="e">
        <f>#REF!</f>
        <v>#REF!</v>
      </c>
    </row>
    <row r="20" spans="1:3" ht="12.75">
      <c r="A20" s="141" t="s">
        <v>693</v>
      </c>
      <c r="B20" s="322"/>
      <c r="C20" s="322">
        <f>-184283+205963</f>
        <v>21680</v>
      </c>
    </row>
    <row r="21" spans="1:3" ht="12.75" hidden="1">
      <c r="A21" s="141" t="s">
        <v>694</v>
      </c>
      <c r="B21" s="322"/>
      <c r="C21" s="322"/>
    </row>
    <row r="22" spans="1:5" ht="12.75">
      <c r="A22" s="141" t="s">
        <v>743</v>
      </c>
      <c r="B22" s="550"/>
      <c r="C22" s="550">
        <v>22616</v>
      </c>
      <c r="E22" s="555" t="s">
        <v>539</v>
      </c>
    </row>
    <row r="23" spans="1:3" ht="12.75">
      <c r="A23" s="141" t="s">
        <v>381</v>
      </c>
      <c r="B23" s="322">
        <v>0</v>
      </c>
      <c r="C23" s="322">
        <v>0</v>
      </c>
    </row>
    <row r="24" spans="1:3" ht="12.75" customHeight="1" thickBot="1">
      <c r="A24" s="140" t="s">
        <v>247</v>
      </c>
      <c r="B24" s="347">
        <f>+B20-B22</f>
        <v>0</v>
      </c>
      <c r="C24" s="347">
        <f>+C20-C22</f>
        <v>-936</v>
      </c>
    </row>
    <row r="25" ht="12.75">
      <c r="A25" s="58"/>
    </row>
    <row r="26" ht="13.5" thickBot="1">
      <c r="A26" s="58"/>
    </row>
    <row r="27" spans="1:3" ht="15" customHeight="1">
      <c r="A27" s="288" t="s">
        <v>489</v>
      </c>
      <c r="B27" s="302" t="e">
        <f>B19</f>
        <v>#REF!</v>
      </c>
      <c r="C27" s="302" t="e">
        <f>C19</f>
        <v>#REF!</v>
      </c>
    </row>
    <row r="28" spans="1:3" ht="12.75">
      <c r="A28" s="141" t="s">
        <v>490</v>
      </c>
      <c r="B28" s="322"/>
      <c r="C28" s="322">
        <v>30677</v>
      </c>
    </row>
    <row r="29" spans="1:3" ht="12.75" hidden="1">
      <c r="A29" s="141" t="s">
        <v>694</v>
      </c>
      <c r="B29" s="322"/>
      <c r="C29" s="322"/>
    </row>
    <row r="30" spans="1:3" ht="12.75">
      <c r="A30" s="141" t="s">
        <v>491</v>
      </c>
      <c r="B30" s="322"/>
      <c r="C30" s="322">
        <v>-57517</v>
      </c>
    </row>
    <row r="31" spans="1:3" ht="12.75" hidden="1">
      <c r="A31" s="141" t="s">
        <v>492</v>
      </c>
      <c r="B31" s="322"/>
      <c r="C31" s="322"/>
    </row>
    <row r="32" spans="1:3" ht="12.75" customHeight="1">
      <c r="A32" s="141" t="s">
        <v>216</v>
      </c>
      <c r="B32" s="322"/>
      <c r="C32" s="322">
        <f>77714-32800</f>
        <v>44914</v>
      </c>
    </row>
    <row r="33" spans="1:3" ht="12.75">
      <c r="A33" s="141" t="s">
        <v>960</v>
      </c>
      <c r="B33" s="550"/>
      <c r="C33" s="550">
        <f>-159+657</f>
        <v>498</v>
      </c>
    </row>
    <row r="34" spans="1:3" ht="32.25" customHeight="1" thickBot="1">
      <c r="A34" s="356" t="s">
        <v>34</v>
      </c>
      <c r="B34" s="347">
        <f>+B28-B30-B32-B33</f>
        <v>0</v>
      </c>
      <c r="C34" s="347">
        <f>+C28-C30-C32-C33</f>
        <v>42782</v>
      </c>
    </row>
    <row r="35" spans="1:3" ht="12.75" customHeight="1">
      <c r="A35" s="357"/>
      <c r="B35" s="349"/>
      <c r="C35" s="350"/>
    </row>
    <row r="36" ht="13.5" thickBot="1">
      <c r="A36" s="358"/>
    </row>
    <row r="37" spans="1:3" ht="12.75">
      <c r="A37" s="359" t="s">
        <v>218</v>
      </c>
      <c r="B37" s="304" t="e">
        <f>B19</f>
        <v>#REF!</v>
      </c>
      <c r="C37" s="304" t="e">
        <f>C19</f>
        <v>#REF!</v>
      </c>
    </row>
    <row r="38" spans="1:3" ht="24">
      <c r="A38" s="360" t="s">
        <v>663</v>
      </c>
      <c r="B38" s="322">
        <v>0</v>
      </c>
      <c r="C38" s="322">
        <v>0</v>
      </c>
    </row>
    <row r="39" spans="1:3" ht="12.75">
      <c r="A39" s="361" t="s">
        <v>664</v>
      </c>
      <c r="B39" s="322"/>
      <c r="C39" s="322">
        <v>6065</v>
      </c>
    </row>
    <row r="40" spans="1:3" ht="12.75">
      <c r="A40" s="361" t="s">
        <v>665</v>
      </c>
      <c r="B40" s="550"/>
      <c r="C40" s="550">
        <v>-118</v>
      </c>
    </row>
    <row r="41" spans="1:3" ht="18.75" customHeight="1" thickBot="1">
      <c r="A41" s="362" t="s">
        <v>300</v>
      </c>
      <c r="B41" s="347">
        <f>SUM(B38:B40)</f>
        <v>0</v>
      </c>
      <c r="C41" s="347">
        <f>SUM(C38:C40)</f>
        <v>5947</v>
      </c>
    </row>
    <row r="42" ht="12.75">
      <c r="A42" s="363"/>
    </row>
    <row r="43" ht="12.75">
      <c r="A43" s="363"/>
    </row>
    <row r="44" ht="12.75">
      <c r="A44" s="363"/>
    </row>
    <row r="45" ht="12.75">
      <c r="A45" s="358"/>
    </row>
    <row r="46" ht="12.75">
      <c r="A46" s="358"/>
    </row>
    <row r="47" ht="12.75">
      <c r="A47" s="358"/>
    </row>
    <row r="48" ht="12.75">
      <c r="A48" s="358"/>
    </row>
    <row r="49" ht="12.75">
      <c r="A49" s="358"/>
    </row>
    <row r="50" ht="12.75">
      <c r="A50" s="358"/>
    </row>
    <row r="51" ht="12.75">
      <c r="A51" s="358"/>
    </row>
    <row r="52" ht="12.75">
      <c r="A52" s="358"/>
    </row>
    <row r="53" ht="12.75">
      <c r="A53" s="358"/>
    </row>
    <row r="54" ht="12.75">
      <c r="A54" s="358"/>
    </row>
    <row r="55" ht="12.75">
      <c r="A55" s="358"/>
    </row>
    <row r="56" ht="12.75">
      <c r="A56" s="358"/>
    </row>
    <row r="57" ht="12.75">
      <c r="A57" s="358"/>
    </row>
    <row r="58" ht="12.75">
      <c r="A58" s="358"/>
    </row>
    <row r="59" ht="12.75">
      <c r="A59" s="358"/>
    </row>
    <row r="60" ht="12.75">
      <c r="A60" s="358"/>
    </row>
    <row r="61" ht="12.75">
      <c r="A61" s="358"/>
    </row>
    <row r="62" ht="12.75">
      <c r="A62" s="358"/>
    </row>
    <row r="63" ht="12.75">
      <c r="A63" s="358"/>
    </row>
    <row r="64" ht="12.75">
      <c r="A64" s="358"/>
    </row>
    <row r="65" ht="12.75">
      <c r="A65" s="358"/>
    </row>
    <row r="66" ht="12.75">
      <c r="A66" s="358"/>
    </row>
    <row r="67" ht="12.75">
      <c r="A67" s="358"/>
    </row>
    <row r="68" ht="12.75">
      <c r="A68" s="358"/>
    </row>
    <row r="69" ht="12.75">
      <c r="A69" s="358"/>
    </row>
    <row r="70" ht="12.75">
      <c r="A70" s="358"/>
    </row>
    <row r="71" ht="12.75">
      <c r="A71" s="358"/>
    </row>
    <row r="72" ht="12.75">
      <c r="A72" s="358"/>
    </row>
    <row r="73" ht="12.75">
      <c r="A73" s="358"/>
    </row>
    <row r="74" ht="12.75">
      <c r="A74" s="358"/>
    </row>
    <row r="75" ht="12.75">
      <c r="A75" s="358"/>
    </row>
    <row r="76" ht="12.75">
      <c r="A76" s="358"/>
    </row>
    <row r="77" ht="12.75">
      <c r="A77" s="358"/>
    </row>
    <row r="78" ht="12.75">
      <c r="A78" s="358"/>
    </row>
    <row r="79" ht="12.75">
      <c r="A79" s="358"/>
    </row>
    <row r="80" ht="12.75">
      <c r="A80" s="358"/>
    </row>
    <row r="81" ht="12.75">
      <c r="A81" s="358"/>
    </row>
    <row r="82" ht="12.75">
      <c r="A82" s="358"/>
    </row>
    <row r="83" ht="12.75">
      <c r="A83" s="358"/>
    </row>
    <row r="84" ht="12.75">
      <c r="A84" s="358"/>
    </row>
    <row r="85" ht="12.75">
      <c r="A85" s="358"/>
    </row>
    <row r="86" ht="12.75">
      <c r="A86" s="358"/>
    </row>
    <row r="87" ht="12.75">
      <c r="A87" s="358"/>
    </row>
    <row r="88" ht="12.75">
      <c r="A88" s="358"/>
    </row>
    <row r="89" ht="12.75">
      <c r="A89" s="358"/>
    </row>
    <row r="90" ht="12.75">
      <c r="A90" s="358"/>
    </row>
    <row r="91" ht="12.75">
      <c r="A91" s="358"/>
    </row>
    <row r="92" ht="12.75">
      <c r="A92" s="358"/>
    </row>
    <row r="93" ht="12.75">
      <c r="A93" s="358"/>
    </row>
    <row r="94" ht="12.75">
      <c r="A94" s="358"/>
    </row>
    <row r="95" ht="12.75">
      <c r="A95" s="358"/>
    </row>
    <row r="96" ht="12.75">
      <c r="A96" s="358"/>
    </row>
    <row r="97" ht="12.75">
      <c r="A97" s="358"/>
    </row>
    <row r="98" ht="12.75">
      <c r="A98" s="358"/>
    </row>
    <row r="99" ht="12.75">
      <c r="A99" s="358"/>
    </row>
    <row r="100" ht="12.75">
      <c r="A100" s="358"/>
    </row>
    <row r="101" ht="12.75">
      <c r="A101" s="358"/>
    </row>
    <row r="102" ht="12.75">
      <c r="A102" s="358"/>
    </row>
    <row r="103" ht="12.75">
      <c r="A103" s="358"/>
    </row>
    <row r="104" ht="12.75">
      <c r="A104" s="358"/>
    </row>
    <row r="105" ht="12.75">
      <c r="A105" s="358"/>
    </row>
    <row r="106" ht="12.75">
      <c r="A106" s="358"/>
    </row>
    <row r="107" ht="12.75">
      <c r="A107" s="358"/>
    </row>
    <row r="108" ht="12.75">
      <c r="A108" s="358"/>
    </row>
    <row r="109" ht="12.75">
      <c r="A109" s="358"/>
    </row>
    <row r="110" ht="12.75">
      <c r="A110" s="358"/>
    </row>
    <row r="111" ht="12.75">
      <c r="A111" s="358"/>
    </row>
    <row r="112" ht="12.75">
      <c r="A112" s="358"/>
    </row>
    <row r="113" ht="12.75">
      <c r="A113" s="358"/>
    </row>
    <row r="114" ht="12.75">
      <c r="A114" s="358"/>
    </row>
    <row r="115" ht="12.75">
      <c r="A115" s="358"/>
    </row>
    <row r="116" ht="12.75">
      <c r="A116" s="358"/>
    </row>
    <row r="117" ht="12.75">
      <c r="A117" s="358"/>
    </row>
    <row r="118" ht="12.75">
      <c r="A118" s="358"/>
    </row>
    <row r="119" ht="12.75">
      <c r="A119" s="358"/>
    </row>
    <row r="120" ht="12.75">
      <c r="A120" s="358"/>
    </row>
    <row r="121" ht="12.75">
      <c r="A121" s="358"/>
    </row>
    <row r="122" ht="12.75">
      <c r="A122" s="358"/>
    </row>
    <row r="123" ht="12.75">
      <c r="A123" s="358"/>
    </row>
    <row r="124" ht="12.75">
      <c r="A124" s="358"/>
    </row>
    <row r="125" ht="12.75">
      <c r="A125" s="358"/>
    </row>
    <row r="126" ht="12.75">
      <c r="A126" s="358"/>
    </row>
    <row r="127" ht="12.75">
      <c r="A127" s="358"/>
    </row>
    <row r="128" ht="12.75">
      <c r="A128" s="358"/>
    </row>
    <row r="129" ht="12.75">
      <c r="A129" s="358"/>
    </row>
    <row r="130" ht="12.75">
      <c r="A130" s="358"/>
    </row>
    <row r="131" ht="12.75">
      <c r="A131" s="358"/>
    </row>
    <row r="132" ht="12.75">
      <c r="A132" s="358"/>
    </row>
    <row r="133" ht="12.75">
      <c r="A133" s="358"/>
    </row>
    <row r="134" ht="12.75">
      <c r="A134" s="358"/>
    </row>
    <row r="135" ht="12.75">
      <c r="A135" s="358"/>
    </row>
    <row r="136" ht="12.75">
      <c r="A136" s="358"/>
    </row>
    <row r="137" ht="12.75">
      <c r="A137" s="358"/>
    </row>
    <row r="138" ht="12.75">
      <c r="A138" s="358"/>
    </row>
    <row r="139" ht="12.75">
      <c r="A139" s="358"/>
    </row>
    <row r="140" ht="12.75">
      <c r="A140" s="358"/>
    </row>
    <row r="141" ht="12.75">
      <c r="A141" s="358"/>
    </row>
    <row r="142" ht="12.75">
      <c r="A142" s="358"/>
    </row>
    <row r="143" ht="12.75">
      <c r="A143" s="358"/>
    </row>
    <row r="144" ht="12.75">
      <c r="A144" s="358"/>
    </row>
    <row r="145" ht="12.75">
      <c r="A145" s="358"/>
    </row>
    <row r="146" ht="12.75">
      <c r="A146" s="358"/>
    </row>
    <row r="147" ht="12.75">
      <c r="A147" s="358"/>
    </row>
    <row r="148" ht="12.75">
      <c r="A148" s="358"/>
    </row>
    <row r="149" ht="12.75">
      <c r="A149" s="358"/>
    </row>
    <row r="150" ht="12.75">
      <c r="A150" s="358"/>
    </row>
    <row r="151" ht="12.75">
      <c r="A151" s="358"/>
    </row>
    <row r="152" ht="12.75">
      <c r="A152" s="358"/>
    </row>
    <row r="153" ht="12.75">
      <c r="A153" s="358"/>
    </row>
    <row r="154" ht="12.75">
      <c r="A154" s="358"/>
    </row>
    <row r="155" ht="12.75">
      <c r="A155" s="358"/>
    </row>
    <row r="156" ht="12.75">
      <c r="A156" s="358"/>
    </row>
    <row r="157" ht="12.75">
      <c r="A157" s="358"/>
    </row>
    <row r="158" ht="12.75">
      <c r="A158" s="358"/>
    </row>
    <row r="159" ht="12.75">
      <c r="A159" s="358"/>
    </row>
    <row r="160" ht="12.75">
      <c r="A160" s="358"/>
    </row>
    <row r="161" ht="12.75">
      <c r="A161" s="358"/>
    </row>
    <row r="162" ht="12.75">
      <c r="A162" s="358"/>
    </row>
    <row r="163" ht="12.75">
      <c r="A163" s="358"/>
    </row>
    <row r="164" ht="12.75">
      <c r="A164" s="358"/>
    </row>
    <row r="165" ht="12.75">
      <c r="A165" s="358"/>
    </row>
    <row r="166" ht="12.75">
      <c r="A166" s="358"/>
    </row>
    <row r="167" ht="12.75">
      <c r="A167" s="358"/>
    </row>
    <row r="168" ht="12.75">
      <c r="A168" s="358"/>
    </row>
    <row r="169" ht="12.75">
      <c r="A169" s="358"/>
    </row>
    <row r="170" ht="12.75">
      <c r="A170" s="358"/>
    </row>
    <row r="171" ht="12.75">
      <c r="A171" s="358"/>
    </row>
    <row r="172" ht="12.75">
      <c r="A172" s="358"/>
    </row>
    <row r="173" ht="12.75">
      <c r="A173" s="358"/>
    </row>
    <row r="174" ht="12.75">
      <c r="A174" s="358"/>
    </row>
    <row r="175" ht="12.75">
      <c r="A175" s="358"/>
    </row>
    <row r="176" ht="12.75">
      <c r="A176" s="358"/>
    </row>
    <row r="177" ht="12.75">
      <c r="A177" s="358"/>
    </row>
    <row r="178" ht="12.75">
      <c r="A178" s="358"/>
    </row>
    <row r="179" ht="12.75">
      <c r="A179" s="358"/>
    </row>
    <row r="180" ht="12.75">
      <c r="A180" s="358"/>
    </row>
    <row r="181" ht="12.75">
      <c r="A181" s="358"/>
    </row>
    <row r="182" ht="12.75">
      <c r="A182" s="358"/>
    </row>
    <row r="183" ht="12.75">
      <c r="A183" s="358"/>
    </row>
    <row r="184" ht="12.75">
      <c r="A184" s="358"/>
    </row>
    <row r="185" ht="12.75">
      <c r="A185" s="358"/>
    </row>
    <row r="186" ht="12.75">
      <c r="A186" s="358"/>
    </row>
    <row r="187" ht="12.75">
      <c r="A187" s="358"/>
    </row>
    <row r="188" ht="12.75">
      <c r="A188" s="358"/>
    </row>
    <row r="189" ht="12.75">
      <c r="A189" s="358"/>
    </row>
    <row r="190" ht="12.75">
      <c r="A190" s="358"/>
    </row>
    <row r="191" ht="12.75">
      <c r="A191" s="358"/>
    </row>
    <row r="192" ht="12.75">
      <c r="A192" s="358"/>
    </row>
    <row r="193" ht="12.75">
      <c r="A193" s="358"/>
    </row>
    <row r="194" ht="12.75">
      <c r="A194" s="358"/>
    </row>
    <row r="195" ht="12.75">
      <c r="A195" s="358"/>
    </row>
    <row r="196" ht="12.75">
      <c r="A196" s="358"/>
    </row>
    <row r="197" ht="12.75">
      <c r="A197" s="358"/>
    </row>
    <row r="198" ht="12.75">
      <c r="A198" s="358"/>
    </row>
    <row r="199" ht="12.75">
      <c r="A199" s="358"/>
    </row>
    <row r="200" ht="12.75">
      <c r="A200" s="358"/>
    </row>
    <row r="201" ht="12.75">
      <c r="A201" s="358"/>
    </row>
    <row r="202" ht="12.75">
      <c r="A202" s="358"/>
    </row>
    <row r="203" ht="12.75">
      <c r="A203" s="358"/>
    </row>
    <row r="204" ht="12.75">
      <c r="A204" s="358"/>
    </row>
    <row r="205" ht="12.75">
      <c r="A205" s="358"/>
    </row>
    <row r="206" ht="12.75">
      <c r="A206" s="358"/>
    </row>
    <row r="207" ht="12.75">
      <c r="A207" s="358"/>
    </row>
    <row r="208" ht="12.75">
      <c r="A208" s="358"/>
    </row>
    <row r="209" ht="12.75">
      <c r="A209" s="358"/>
    </row>
    <row r="210" ht="12.75">
      <c r="A210" s="358"/>
    </row>
    <row r="211" ht="12.75">
      <c r="A211" s="358"/>
    </row>
    <row r="212" ht="12.75">
      <c r="A212" s="358"/>
    </row>
    <row r="213" ht="12.75">
      <c r="A213" s="358"/>
    </row>
    <row r="214" ht="12.75">
      <c r="A214" s="358"/>
    </row>
    <row r="215" ht="12.75">
      <c r="A215" s="358"/>
    </row>
    <row r="216" ht="12.75">
      <c r="A216" s="358"/>
    </row>
    <row r="217" ht="12.75">
      <c r="A217" s="358"/>
    </row>
    <row r="218" ht="12.75">
      <c r="A218" s="358"/>
    </row>
    <row r="219" ht="12.75">
      <c r="A219" s="358"/>
    </row>
    <row r="220" ht="12.75">
      <c r="A220" s="358"/>
    </row>
    <row r="221" ht="12.75">
      <c r="A221" s="358"/>
    </row>
    <row r="222" ht="12.75">
      <c r="A222" s="358"/>
    </row>
    <row r="223" ht="12.75">
      <c r="A223" s="358"/>
    </row>
    <row r="224" ht="12.75">
      <c r="A224" s="358"/>
    </row>
    <row r="225" ht="12.75">
      <c r="A225" s="358"/>
    </row>
    <row r="226" ht="12.75">
      <c r="A226" s="358"/>
    </row>
    <row r="227" ht="12.75">
      <c r="A227" s="358"/>
    </row>
    <row r="228" ht="12.75">
      <c r="A228" s="358"/>
    </row>
    <row r="229" ht="12.75">
      <c r="A229" s="358"/>
    </row>
    <row r="230" ht="12.75">
      <c r="A230" s="358"/>
    </row>
    <row r="231" ht="12.75">
      <c r="A231" s="358"/>
    </row>
    <row r="232" ht="12.75">
      <c r="A232" s="358"/>
    </row>
    <row r="233" ht="12.75">
      <c r="A233" s="358"/>
    </row>
    <row r="234" ht="12.75">
      <c r="A234" s="358"/>
    </row>
    <row r="235" ht="12.75">
      <c r="A235" s="358"/>
    </row>
    <row r="236" ht="12.75">
      <c r="A236" s="358"/>
    </row>
    <row r="237" ht="12.75">
      <c r="A237" s="358"/>
    </row>
    <row r="238" ht="12.75">
      <c r="A238" s="358"/>
    </row>
    <row r="239" ht="12.75">
      <c r="A239" s="358"/>
    </row>
    <row r="240" ht="12.75">
      <c r="A240" s="358"/>
    </row>
    <row r="241" ht="12.75">
      <c r="A241" s="358"/>
    </row>
    <row r="242" ht="12.75">
      <c r="A242" s="358"/>
    </row>
    <row r="243" ht="12.75">
      <c r="A243" s="358"/>
    </row>
    <row r="244" ht="12.75">
      <c r="A244" s="358"/>
    </row>
    <row r="245" ht="12.75">
      <c r="A245" s="358"/>
    </row>
    <row r="246" ht="12.75">
      <c r="A246" s="358"/>
    </row>
    <row r="247" ht="12.75">
      <c r="A247" s="358"/>
    </row>
    <row r="248" ht="12.75">
      <c r="A248" s="358"/>
    </row>
    <row r="249" ht="12.75">
      <c r="A249" s="358"/>
    </row>
    <row r="250" ht="12.75">
      <c r="A250" s="358"/>
    </row>
    <row r="251" ht="12.75">
      <c r="A251" s="358"/>
    </row>
    <row r="252" ht="12.75">
      <c r="A252" s="358"/>
    </row>
    <row r="253" ht="12.75">
      <c r="A253" s="358"/>
    </row>
    <row r="254" ht="12.75">
      <c r="A254" s="358"/>
    </row>
    <row r="255" ht="12.75">
      <c r="A255" s="358"/>
    </row>
    <row r="256" ht="12.75">
      <c r="A256" s="358"/>
    </row>
    <row r="257" ht="12.75">
      <c r="A257" s="358"/>
    </row>
    <row r="258" ht="12.75">
      <c r="A258" s="358"/>
    </row>
    <row r="259" ht="12.75">
      <c r="A259" s="358"/>
    </row>
    <row r="260" ht="12.75">
      <c r="A260" s="358"/>
    </row>
    <row r="261" ht="12.75">
      <c r="A261" s="358"/>
    </row>
    <row r="262" ht="12.75">
      <c r="A262" s="358"/>
    </row>
    <row r="263" ht="12.75">
      <c r="A263" s="358"/>
    </row>
    <row r="264" ht="12.75">
      <c r="A264" s="358"/>
    </row>
    <row r="265" ht="12.75">
      <c r="A265" s="358"/>
    </row>
    <row r="266" ht="12.75">
      <c r="A266" s="358"/>
    </row>
    <row r="267" ht="12.75">
      <c r="A267" s="358"/>
    </row>
    <row r="268" ht="12.75">
      <c r="A268" s="358"/>
    </row>
    <row r="269" ht="12.75">
      <c r="A269" s="358"/>
    </row>
    <row r="270" ht="12.75">
      <c r="A270" s="358"/>
    </row>
    <row r="271" ht="12.75">
      <c r="A271" s="358"/>
    </row>
    <row r="272" ht="12.75">
      <c r="A272" s="358"/>
    </row>
    <row r="273" ht="12.75">
      <c r="A273" s="358"/>
    </row>
    <row r="274" ht="12.75">
      <c r="A274" s="358"/>
    </row>
    <row r="275" ht="12.75">
      <c r="A275" s="358"/>
    </row>
    <row r="276" ht="12.75">
      <c r="A276" s="358"/>
    </row>
    <row r="277" ht="12.75">
      <c r="A277" s="358"/>
    </row>
    <row r="278" ht="12.75">
      <c r="A278" s="358"/>
    </row>
    <row r="279" ht="12.75">
      <c r="A279" s="358"/>
    </row>
    <row r="280" ht="12.75">
      <c r="A280" s="358"/>
    </row>
    <row r="281" ht="12.75">
      <c r="A281" s="358"/>
    </row>
    <row r="282" ht="12.75">
      <c r="A282" s="358"/>
    </row>
    <row r="283" ht="12.75">
      <c r="A283" s="358"/>
    </row>
    <row r="284" ht="12.75">
      <c r="A284" s="358"/>
    </row>
    <row r="285" ht="12.75">
      <c r="A285" s="358"/>
    </row>
    <row r="286" ht="12.75">
      <c r="A286" s="358"/>
    </row>
    <row r="287" ht="12.75">
      <c r="A287" s="358"/>
    </row>
    <row r="288" ht="12.75">
      <c r="A288" s="358"/>
    </row>
    <row r="289" ht="12.75">
      <c r="A289" s="358"/>
    </row>
    <row r="290" ht="12.75">
      <c r="A290" s="358"/>
    </row>
    <row r="291" ht="12.75">
      <c r="A291" s="358"/>
    </row>
    <row r="292" ht="12.75">
      <c r="A292" s="358"/>
    </row>
    <row r="293" ht="12.75">
      <c r="A293" s="358"/>
    </row>
    <row r="294" ht="12.75">
      <c r="A294" s="358"/>
    </row>
    <row r="295" ht="12.75">
      <c r="A295" s="358"/>
    </row>
    <row r="296" ht="12.75">
      <c r="A296" s="358"/>
    </row>
    <row r="297" ht="12.75">
      <c r="A297" s="358"/>
    </row>
    <row r="298" ht="12.75">
      <c r="A298" s="358"/>
    </row>
    <row r="299" ht="12.75">
      <c r="A299" s="358"/>
    </row>
    <row r="300" ht="12.75">
      <c r="A300" s="358"/>
    </row>
    <row r="301" ht="12.75">
      <c r="A301" s="358"/>
    </row>
    <row r="302" ht="12.75">
      <c r="A302" s="358"/>
    </row>
    <row r="303" ht="12.75">
      <c r="A303" s="358"/>
    </row>
    <row r="304" ht="12.75">
      <c r="A304" s="358"/>
    </row>
    <row r="305" ht="12.75">
      <c r="A305" s="358"/>
    </row>
    <row r="306" ht="12.75">
      <c r="A306" s="358"/>
    </row>
    <row r="307" ht="12.75">
      <c r="A307" s="358"/>
    </row>
    <row r="308" ht="12.75">
      <c r="A308" s="358"/>
    </row>
    <row r="309" ht="12.75">
      <c r="A309" s="358"/>
    </row>
    <row r="310" ht="12.75">
      <c r="A310" s="358"/>
    </row>
    <row r="311" ht="12.75">
      <c r="A311" s="358"/>
    </row>
    <row r="312" ht="12.75">
      <c r="A312" s="358"/>
    </row>
    <row r="313" ht="12.75">
      <c r="A313" s="358"/>
    </row>
    <row r="314" ht="12.75">
      <c r="A314" s="358"/>
    </row>
    <row r="315" ht="12.75">
      <c r="A315" s="358"/>
    </row>
    <row r="316" ht="12.75">
      <c r="A316" s="358"/>
    </row>
    <row r="317" ht="12.75">
      <c r="A317" s="358"/>
    </row>
    <row r="318" ht="12.75">
      <c r="A318" s="358"/>
    </row>
    <row r="319" ht="12.75">
      <c r="A319" s="358"/>
    </row>
    <row r="320" ht="12.75">
      <c r="A320" s="358"/>
    </row>
    <row r="321" ht="12.75">
      <c r="A321" s="358"/>
    </row>
    <row r="322" ht="12.75">
      <c r="A322" s="358"/>
    </row>
    <row r="323" ht="12.75">
      <c r="A323" s="358"/>
    </row>
    <row r="324" ht="12.75">
      <c r="A324" s="358"/>
    </row>
    <row r="325" ht="12.75">
      <c r="A325" s="358"/>
    </row>
    <row r="326" ht="12.75">
      <c r="A326" s="358"/>
    </row>
    <row r="327" ht="12.75">
      <c r="A327" s="358"/>
    </row>
    <row r="328" ht="12.75">
      <c r="A328" s="358"/>
    </row>
    <row r="329" ht="12.75">
      <c r="A329" s="358"/>
    </row>
    <row r="330" ht="12.75">
      <c r="A330" s="358"/>
    </row>
    <row r="331" ht="12.75">
      <c r="A331" s="358"/>
    </row>
    <row r="332" ht="12.75">
      <c r="A332" s="358"/>
    </row>
    <row r="333" ht="12.75">
      <c r="A333" s="358"/>
    </row>
    <row r="334" ht="12.75">
      <c r="A334" s="358"/>
    </row>
    <row r="335" ht="12.75">
      <c r="A335" s="358"/>
    </row>
    <row r="336" ht="12.75">
      <c r="A336" s="358"/>
    </row>
    <row r="337" ht="12.75">
      <c r="A337" s="358"/>
    </row>
    <row r="338" ht="12.75">
      <c r="A338" s="358"/>
    </row>
    <row r="339" ht="12.75">
      <c r="A339" s="358"/>
    </row>
    <row r="340" ht="12.75">
      <c r="A340" s="358"/>
    </row>
    <row r="341" ht="12.75">
      <c r="A341" s="358"/>
    </row>
    <row r="342" ht="12.75">
      <c r="A342" s="358"/>
    </row>
    <row r="343" ht="12.75">
      <c r="A343" s="358"/>
    </row>
    <row r="344" ht="12.75">
      <c r="A344" s="358"/>
    </row>
    <row r="345" ht="12.75">
      <c r="A345" s="358"/>
    </row>
    <row r="346" ht="12.75">
      <c r="A346" s="358"/>
    </row>
    <row r="347" ht="12.75">
      <c r="A347" s="358"/>
    </row>
    <row r="348" ht="12.75">
      <c r="A348" s="358"/>
    </row>
    <row r="349" ht="12.75">
      <c r="A349" s="358"/>
    </row>
    <row r="350" ht="12.75">
      <c r="A350" s="358"/>
    </row>
    <row r="351" ht="12.75">
      <c r="A351" s="358"/>
    </row>
    <row r="352" ht="12.75">
      <c r="A352" s="358"/>
    </row>
    <row r="353" ht="12.75">
      <c r="A353" s="358"/>
    </row>
    <row r="354" ht="12.75">
      <c r="A354" s="358"/>
    </row>
    <row r="355" ht="12.75">
      <c r="A355" s="358"/>
    </row>
    <row r="356" ht="12.75">
      <c r="A356" s="358"/>
    </row>
    <row r="357" ht="12.75">
      <c r="A357" s="358"/>
    </row>
    <row r="358" ht="12.75">
      <c r="A358" s="358"/>
    </row>
    <row r="359" ht="12.75">
      <c r="A359" s="358"/>
    </row>
    <row r="360" ht="12.75">
      <c r="A360" s="358"/>
    </row>
    <row r="361" ht="12.75">
      <c r="A361" s="358"/>
    </row>
    <row r="362" ht="12.75">
      <c r="A362" s="358"/>
    </row>
    <row r="363" ht="12.75">
      <c r="A363" s="358"/>
    </row>
    <row r="364" ht="12.75">
      <c r="A364" s="358"/>
    </row>
    <row r="365" ht="12.75">
      <c r="A365" s="358"/>
    </row>
    <row r="366" ht="12.75">
      <c r="A366" s="358"/>
    </row>
    <row r="367" ht="12.75">
      <c r="A367" s="358"/>
    </row>
    <row r="368" ht="12.75">
      <c r="A368" s="358"/>
    </row>
    <row r="369" ht="12.75">
      <c r="A369" s="358"/>
    </row>
    <row r="370" ht="12.75">
      <c r="A370" s="358"/>
    </row>
    <row r="371" ht="12.75">
      <c r="A371" s="358"/>
    </row>
    <row r="372" ht="12.75">
      <c r="A372" s="358"/>
    </row>
    <row r="373" ht="12.75">
      <c r="A373" s="358"/>
    </row>
    <row r="374" ht="12.75">
      <c r="A374" s="358"/>
    </row>
    <row r="375" ht="12.75">
      <c r="A375" s="358"/>
    </row>
    <row r="376" ht="12.75">
      <c r="A376" s="358"/>
    </row>
    <row r="377" ht="12.75">
      <c r="A377" s="358"/>
    </row>
    <row r="378" ht="12.75">
      <c r="A378" s="358"/>
    </row>
    <row r="379" ht="12.75">
      <c r="A379" s="358"/>
    </row>
    <row r="380" ht="12.75">
      <c r="A380" s="358"/>
    </row>
    <row r="381" ht="12.75">
      <c r="A381" s="358"/>
    </row>
    <row r="382" ht="12.75">
      <c r="A382" s="358"/>
    </row>
    <row r="383" ht="12.75">
      <c r="A383" s="358"/>
    </row>
    <row r="384" ht="12.75">
      <c r="A384" s="358"/>
    </row>
    <row r="385" ht="12.75">
      <c r="A385" s="358"/>
    </row>
    <row r="386" ht="12.75">
      <c r="A386" s="358"/>
    </row>
    <row r="387" ht="12.75">
      <c r="A387" s="358"/>
    </row>
    <row r="388" ht="12.75">
      <c r="A388" s="358"/>
    </row>
    <row r="389" ht="12.75">
      <c r="A389" s="358"/>
    </row>
    <row r="390" ht="12.75">
      <c r="A390" s="358"/>
    </row>
    <row r="391" ht="12.75">
      <c r="A391" s="358"/>
    </row>
    <row r="392" ht="12.75">
      <c r="A392" s="358"/>
    </row>
    <row r="393" ht="12.75">
      <c r="A393" s="358"/>
    </row>
    <row r="394" ht="12.75">
      <c r="A394" s="358"/>
    </row>
    <row r="395" ht="12.75">
      <c r="A395" s="358"/>
    </row>
    <row r="396" ht="12.75">
      <c r="A396" s="358"/>
    </row>
    <row r="397" ht="12.75">
      <c r="A397" s="358"/>
    </row>
    <row r="398" ht="12.75">
      <c r="A398" s="358"/>
    </row>
    <row r="399" ht="12.75">
      <c r="A399" s="358"/>
    </row>
    <row r="400" ht="12.75">
      <c r="A400" s="358"/>
    </row>
    <row r="401" ht="12.75">
      <c r="A401" s="358"/>
    </row>
    <row r="402" ht="12.75">
      <c r="A402" s="358"/>
    </row>
    <row r="403" ht="12.75">
      <c r="A403" s="358"/>
    </row>
    <row r="404" ht="12.75">
      <c r="A404" s="358"/>
    </row>
    <row r="405" ht="12.75">
      <c r="A405" s="358"/>
    </row>
    <row r="406" ht="12.75">
      <c r="A406" s="358"/>
    </row>
    <row r="407" ht="12.75">
      <c r="A407" s="358"/>
    </row>
    <row r="408" ht="12.75">
      <c r="A408" s="358"/>
    </row>
    <row r="409" ht="12.75">
      <c r="A409" s="358"/>
    </row>
    <row r="410" ht="12.75">
      <c r="A410" s="358"/>
    </row>
    <row r="411" ht="12.75">
      <c r="A411" s="358"/>
    </row>
    <row r="412" ht="12.75">
      <c r="A412" s="358"/>
    </row>
    <row r="413" ht="12.75">
      <c r="A413" s="358"/>
    </row>
    <row r="414" ht="12.75">
      <c r="A414" s="358"/>
    </row>
    <row r="415" ht="12.75">
      <c r="A415" s="358"/>
    </row>
    <row r="416" ht="12.75">
      <c r="A416" s="358"/>
    </row>
    <row r="417" ht="12.75">
      <c r="A417" s="358"/>
    </row>
    <row r="418" ht="12.75">
      <c r="A418" s="358"/>
    </row>
    <row r="419" ht="12.75">
      <c r="A419" s="358"/>
    </row>
    <row r="420" ht="12.75">
      <c r="A420" s="358"/>
    </row>
    <row r="421" ht="12.75">
      <c r="A421" s="358"/>
    </row>
    <row r="422" ht="12.75">
      <c r="A422" s="358"/>
    </row>
    <row r="423" ht="12.75">
      <c r="A423" s="358"/>
    </row>
    <row r="424" ht="12.75">
      <c r="A424" s="358"/>
    </row>
    <row r="425" ht="12.75">
      <c r="A425" s="358"/>
    </row>
    <row r="426" ht="12.75">
      <c r="A426" s="358"/>
    </row>
    <row r="427" ht="12.75">
      <c r="A427" s="358"/>
    </row>
    <row r="428" ht="12.75">
      <c r="A428" s="358"/>
    </row>
    <row r="429" ht="12.75">
      <c r="A429" s="358"/>
    </row>
    <row r="430" ht="12.75">
      <c r="A430" s="358"/>
    </row>
    <row r="431" ht="12.75">
      <c r="A431" s="358"/>
    </row>
  </sheetData>
  <sheetProtection/>
  <printOptions/>
  <pageMargins left="0.75" right="0.32" top="1" bottom="1" header="0.5" footer="0.5"/>
  <pageSetup blackAndWhite="1" horizontalDpi="600" verticalDpi="600" orientation="portrait" paperSize="9" r:id="rId1"/>
  <headerFooter alignWithMargins="0">
    <oddHeader>&amp;LBUDIMEX S.A.&amp;CSA-R 2002&amp;Rw tys. zł</oddHeader>
    <oddFooter>&amp;C&amp;7Komisja Papierów Wartościowych i Giełd&amp;R&amp;7&amp;P+67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ab002152</dc:creator>
  <cp:keywords/>
  <dc:description/>
  <cp:lastModifiedBy>Kamila</cp:lastModifiedBy>
  <cp:lastPrinted>2012-03-21T14:30:32Z</cp:lastPrinted>
  <dcterms:created xsi:type="dcterms:W3CDTF">2002-03-21T08:59:23Z</dcterms:created>
  <dcterms:modified xsi:type="dcterms:W3CDTF">2013-04-09T14:22:38Z</dcterms:modified>
  <cp:category/>
  <cp:version/>
  <cp:contentType/>
  <cp:contentStatus/>
</cp:coreProperties>
</file>